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480" yWindow="465" windowWidth="26985" windowHeight="16065"/>
  </bookViews>
  <sheets>
    <sheet name="Variables" sheetId="5" r:id="rId1"/>
    <sheet name="SINGLE SITE BUDGET" sheetId="2" r:id="rId2"/>
    <sheet name="MULTI-SITE BUDGET" sheetId="7" r:id="rId3"/>
    <sheet name="Salaries &amp; Staffing Patterns" sheetId="4" r:id="rId4"/>
    <sheet name="Non-personnel expenses" sheetId="6" r:id="rId5"/>
    <sheet name="Revenue Sources" sheetId="3" r:id="rId6"/>
    <sheet name="Group sizes" sheetId="8" r:id="rId7"/>
  </sheets>
  <externalReferences>
    <externalReference r:id="rId8"/>
    <externalReference r:id="rId9"/>
  </externalReferences>
  <definedNames>
    <definedName name="Birth_to_three_Classrooms" localSheetId="2">'[1]Site 1'!#REF!</definedName>
    <definedName name="Birth_to_three_Classrooms">'[1]Site 1'!#REF!</definedName>
    <definedName name="CBO_Advertising">'[2]Data Points'!$B$74</definedName>
    <definedName name="CBO_Education_Equipment">'[2]Data Points'!$B$69</definedName>
    <definedName name="CBO_Education_Supplies">'[2]Data Points'!$B$68</definedName>
    <definedName name="CBO_Food_Cost">'[2]Data Points'!$B$66</definedName>
    <definedName name="CBO_Insurance">'[2]Data Points'!$B$72</definedName>
    <definedName name="CBO_Kitchen_Supplies">'[2]Data Points'!$B$67</definedName>
    <definedName name="CBO_Miscellaneous">'[2]Data Points'!$B$75</definedName>
    <definedName name="CBO_Office_equipment">'[2]Data Points'!$B$71</definedName>
    <definedName name="CBO_Office_Supplies">'[2]Data Points'!$B$70</definedName>
    <definedName name="CBO_Postage">'[2]Data Points'!$B$73</definedName>
    <definedName name="CURRENT_DOWNSTATE_FRINGE">'Salaries &amp; Staffing Patterns'!$B$30</definedName>
    <definedName name="CURRENT_DOWNSTATE_SALARY_SCALE">'Salaries &amp; Staffing Patterns'!#REF!</definedName>
    <definedName name="CURRENT_UPSTATE_FRINGE">'Salaries &amp; Staffing Patterns'!$D$30</definedName>
    <definedName name="CURRENT_UPSTATE_SALARY_SCALE">'Salaries &amp; Staffing Patterns'!#REF!</definedName>
    <definedName name="DOWNSTATE_LICENSED_SALARY">'Salaries &amp; Staffing Patterns'!#REF!</definedName>
    <definedName name="Number_of_InfantsTodddlers" localSheetId="2">'[1]Site 1'!#REF!</definedName>
    <definedName name="Number_of_InfantsTodddlers">'[1]Site 1'!#REF!</definedName>
    <definedName name="Number_Preschoolers" localSheetId="2">'[1]Site 1'!#REF!</definedName>
    <definedName name="Number_Preschoolers">'[1]Site 1'!#REF!</definedName>
    <definedName name="Preschool_Classrooms" localSheetId="2">'[1]Site 1'!#REF!</definedName>
    <definedName name="Preschool_Classrooms">'[1]Site 1'!#REF!</definedName>
    <definedName name="RECOMMENDED_DOWNSTATE_FRINGE">'Salaries &amp; Staffing Patterns'!$C$30</definedName>
    <definedName name="RECOMMENDED_DOWNSTATE_SALARY">'Salaries &amp; Staffing Patterns'!#REF!</definedName>
    <definedName name="RECOMMENDED_DOWNSTATE_SALARY_SCALE">'Salaries &amp; Staffing Patterns'!#REF!</definedName>
    <definedName name="RECOMMENDED_UPSTATE_FRINGE">'Salaries &amp; Staffing Patterns'!#REF!</definedName>
    <definedName name="RECOMMENDED_UPSTATE_SALARY_SCALE">'Salaries &amp; Staffing Patterns'!#REF!</definedName>
    <definedName name="UPSTATE_LICENSED_SALARY">'Salaries &amp; Staffing Patterns'!#REF!</definedName>
    <definedName name="UPSTATE_PI_PFA_SALARY">'Salaries &amp; Staffing Patterns'!#REF!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1" i="7" l="1"/>
  <c r="F111" i="7"/>
  <c r="D111" i="7"/>
  <c r="H101" i="7"/>
  <c r="H100" i="7"/>
  <c r="F101" i="7"/>
  <c r="F100" i="7"/>
  <c r="D101" i="7"/>
  <c r="D100" i="7"/>
  <c r="H91" i="7"/>
  <c r="H90" i="7"/>
  <c r="F91" i="7"/>
  <c r="F90" i="7"/>
  <c r="D91" i="7"/>
  <c r="D90" i="7"/>
  <c r="C29" i="3" l="1"/>
  <c r="H138" i="7" l="1"/>
  <c r="H139" i="7"/>
  <c r="H137" i="7"/>
  <c r="F138" i="7"/>
  <c r="F139" i="7"/>
  <c r="F137" i="7"/>
  <c r="D138" i="7"/>
  <c r="D139" i="7"/>
  <c r="D137" i="7"/>
  <c r="H128" i="7"/>
  <c r="H127" i="7"/>
  <c r="F128" i="7"/>
  <c r="F127" i="7"/>
  <c r="D109" i="2"/>
  <c r="D110" i="2"/>
  <c r="D108" i="2"/>
  <c r="B31" i="2"/>
  <c r="D43" i="2"/>
  <c r="C16" i="2"/>
  <c r="C15" i="2"/>
  <c r="B27" i="2"/>
  <c r="B56" i="7"/>
  <c r="B26" i="2"/>
  <c r="B25" i="2"/>
  <c r="B24" i="2"/>
  <c r="B23" i="2"/>
  <c r="B14" i="2"/>
  <c r="B15" i="2"/>
  <c r="B16" i="2"/>
  <c r="B17" i="2"/>
  <c r="B18" i="2"/>
  <c r="B19" i="2"/>
  <c r="B20" i="2"/>
  <c r="B21" i="2"/>
  <c r="B22" i="2"/>
  <c r="B13" i="2"/>
  <c r="D9" i="2" l="1"/>
  <c r="D75" i="2" s="1"/>
  <c r="D8" i="2"/>
  <c r="D74" i="2" s="1"/>
  <c r="D7" i="2"/>
  <c r="D6" i="2"/>
  <c r="D5" i="2"/>
  <c r="D72" i="7"/>
  <c r="G55" i="7"/>
  <c r="G54" i="7"/>
  <c r="G53" i="7"/>
  <c r="G52" i="7"/>
  <c r="G49" i="7"/>
  <c r="G48" i="7"/>
  <c r="G47" i="7"/>
  <c r="G46" i="7"/>
  <c r="G45" i="7"/>
  <c r="G44" i="7"/>
  <c r="E55" i="7"/>
  <c r="E54" i="7"/>
  <c r="E53" i="7"/>
  <c r="E52" i="7"/>
  <c r="E49" i="7"/>
  <c r="E48" i="7"/>
  <c r="E47" i="7"/>
  <c r="E46" i="7"/>
  <c r="E45" i="7"/>
  <c r="E44" i="7"/>
  <c r="H38" i="7"/>
  <c r="H37" i="7"/>
  <c r="H36" i="7"/>
  <c r="H115" i="7" s="1"/>
  <c r="H35" i="7"/>
  <c r="H114" i="7" s="1"/>
  <c r="H34" i="7"/>
  <c r="H113" i="7" s="1"/>
  <c r="F38" i="7"/>
  <c r="F37" i="7"/>
  <c r="F36" i="7"/>
  <c r="F115" i="7" s="1"/>
  <c r="F35" i="7"/>
  <c r="F114" i="7" s="1"/>
  <c r="F34" i="7"/>
  <c r="F113" i="7" s="1"/>
  <c r="D38" i="7"/>
  <c r="D37" i="7"/>
  <c r="D36" i="7"/>
  <c r="D115" i="7" s="1"/>
  <c r="D35" i="7"/>
  <c r="D114" i="7" s="1"/>
  <c r="D34" i="7"/>
  <c r="D113" i="7" s="1"/>
  <c r="C49" i="7"/>
  <c r="C48" i="7"/>
  <c r="C47" i="7"/>
  <c r="C46" i="7"/>
  <c r="C45" i="7"/>
  <c r="C44" i="7"/>
  <c r="B52" i="7"/>
  <c r="B53" i="7"/>
  <c r="B54" i="7"/>
  <c r="B55" i="7"/>
  <c r="B50" i="7"/>
  <c r="B51" i="7"/>
  <c r="B43" i="7"/>
  <c r="B44" i="7"/>
  <c r="B45" i="7"/>
  <c r="B46" i="7"/>
  <c r="B47" i="7"/>
  <c r="B48" i="7"/>
  <c r="B49" i="7"/>
  <c r="B42" i="7"/>
  <c r="B5" i="7"/>
  <c r="D72" i="2" l="1"/>
  <c r="D81" i="2"/>
  <c r="D71" i="2"/>
  <c r="D80" i="2"/>
  <c r="D73" i="2"/>
  <c r="D82" i="2"/>
  <c r="D76" i="2"/>
  <c r="F93" i="7"/>
  <c r="F103" i="7"/>
  <c r="H96" i="7"/>
  <c r="H106" i="7"/>
  <c r="D95" i="7"/>
  <c r="D105" i="7"/>
  <c r="H103" i="7"/>
  <c r="H93" i="7"/>
  <c r="D96" i="7"/>
  <c r="D106" i="7"/>
  <c r="F105" i="7"/>
  <c r="F95" i="7"/>
  <c r="H104" i="7"/>
  <c r="H94" i="7"/>
  <c r="D104" i="7"/>
  <c r="D94" i="7"/>
  <c r="F97" i="7"/>
  <c r="F107" i="7"/>
  <c r="F104" i="7"/>
  <c r="F94" i="7"/>
  <c r="H107" i="7"/>
  <c r="H97" i="7"/>
  <c r="D93" i="7"/>
  <c r="D103" i="7"/>
  <c r="D97" i="7"/>
  <c r="D107" i="7"/>
  <c r="F96" i="7"/>
  <c r="F106" i="7"/>
  <c r="H95" i="7"/>
  <c r="H105" i="7"/>
  <c r="F20" i="5"/>
  <c r="J28" i="5"/>
  <c r="J20" i="5"/>
  <c r="D64" i="2"/>
  <c r="F19" i="5"/>
  <c r="J27" i="5"/>
  <c r="D63" i="2"/>
  <c r="J19" i="5"/>
  <c r="F29" i="5"/>
  <c r="J21" i="5"/>
  <c r="F21" i="5"/>
  <c r="D65" i="2"/>
  <c r="F26" i="5"/>
  <c r="D62" i="2"/>
  <c r="F18" i="5"/>
  <c r="J26" i="5"/>
  <c r="J18" i="5"/>
  <c r="F30" i="5"/>
  <c r="D66" i="2"/>
  <c r="J22" i="5"/>
  <c r="F22" i="5"/>
  <c r="F27" i="5"/>
  <c r="F28" i="5"/>
  <c r="C50" i="7"/>
  <c r="G50" i="7"/>
  <c r="E50" i="7"/>
  <c r="H98" i="7" l="1"/>
  <c r="H108" i="7"/>
  <c r="F108" i="7"/>
  <c r="D108" i="7"/>
  <c r="F98" i="7"/>
  <c r="B60" i="7"/>
  <c r="B19" i="7"/>
  <c r="B13" i="7"/>
  <c r="B6" i="7"/>
  <c r="B7" i="7"/>
  <c r="B8" i="7"/>
  <c r="B9" i="7"/>
  <c r="B10" i="7"/>
  <c r="B11" i="7"/>
  <c r="B12" i="7"/>
  <c r="H12" i="3"/>
  <c r="I12" i="3"/>
  <c r="H13" i="3"/>
  <c r="I13" i="3"/>
  <c r="H14" i="3"/>
  <c r="I14" i="3"/>
  <c r="H15" i="3"/>
  <c r="I15" i="3"/>
  <c r="I11" i="3"/>
  <c r="E143" i="7" l="1"/>
  <c r="C143" i="7"/>
  <c r="G143" i="7"/>
  <c r="C114" i="2"/>
  <c r="H119" i="7"/>
  <c r="H118" i="7"/>
  <c r="F119" i="7"/>
  <c r="F118" i="7"/>
  <c r="C39" i="7"/>
  <c r="C10" i="2"/>
  <c r="J38" i="7"/>
  <c r="J37" i="7"/>
  <c r="J36" i="7"/>
  <c r="J35" i="7"/>
  <c r="J34" i="7"/>
  <c r="G39" i="7"/>
  <c r="E39" i="7"/>
  <c r="C27" i="7"/>
  <c r="C26" i="7"/>
  <c r="D26" i="7" s="1"/>
  <c r="C25" i="7"/>
  <c r="C24" i="7"/>
  <c r="C23" i="7"/>
  <c r="D6" i="7"/>
  <c r="D7" i="7"/>
  <c r="D8" i="7"/>
  <c r="D9" i="7"/>
  <c r="D10" i="7"/>
  <c r="D11" i="7"/>
  <c r="D12" i="7"/>
  <c r="D5" i="7"/>
  <c r="C16" i="7"/>
  <c r="B23" i="7" s="1"/>
  <c r="D14" i="7"/>
  <c r="D13" i="7"/>
  <c r="D128" i="7"/>
  <c r="D127" i="7"/>
  <c r="D119" i="7"/>
  <c r="D118" i="7"/>
  <c r="D56" i="7"/>
  <c r="E51" i="7" l="1"/>
  <c r="E42" i="7"/>
  <c r="F42" i="7" s="1"/>
  <c r="G51" i="7"/>
  <c r="H51" i="7" s="1"/>
  <c r="G42" i="7"/>
  <c r="C51" i="7"/>
  <c r="D51" i="7" s="1"/>
  <c r="C42" i="7"/>
  <c r="D42" i="7" s="1"/>
  <c r="D40" i="2"/>
  <c r="C18" i="2"/>
  <c r="D41" i="2"/>
  <c r="C19" i="2"/>
  <c r="D46" i="2"/>
  <c r="C17" i="2"/>
  <c r="D45" i="2"/>
  <c r="C20" i="2"/>
  <c r="D42" i="2"/>
  <c r="H69" i="7"/>
  <c r="H71" i="7"/>
  <c r="H70" i="7"/>
  <c r="H72" i="7"/>
  <c r="F71" i="7"/>
  <c r="F72" i="7"/>
  <c r="F69" i="7"/>
  <c r="D71" i="7"/>
  <c r="D70" i="7"/>
  <c r="D69" i="7"/>
  <c r="C43" i="7"/>
  <c r="D43" i="7" s="1"/>
  <c r="F70" i="7"/>
  <c r="G43" i="7"/>
  <c r="H43" i="7" s="1"/>
  <c r="E43" i="7"/>
  <c r="F43" i="7" s="1"/>
  <c r="F48" i="7"/>
  <c r="D48" i="7"/>
  <c r="H49" i="7"/>
  <c r="H48" i="7"/>
  <c r="H45" i="7"/>
  <c r="F45" i="7"/>
  <c r="F49" i="7"/>
  <c r="D45" i="7"/>
  <c r="D46" i="7"/>
  <c r="D47" i="7"/>
  <c r="F47" i="7"/>
  <c r="H47" i="7"/>
  <c r="K36" i="7"/>
  <c r="H52" i="7"/>
  <c r="K38" i="7"/>
  <c r="F54" i="7"/>
  <c r="H39" i="7"/>
  <c r="K35" i="7"/>
  <c r="K37" i="7"/>
  <c r="K34" i="7"/>
  <c r="H55" i="7"/>
  <c r="J39" i="7"/>
  <c r="H44" i="7"/>
  <c r="H46" i="7"/>
  <c r="H53" i="7"/>
  <c r="F55" i="7"/>
  <c r="F51" i="7"/>
  <c r="F46" i="7"/>
  <c r="F53" i="7"/>
  <c r="H54" i="7"/>
  <c r="F52" i="7"/>
  <c r="F56" i="7"/>
  <c r="F39" i="7"/>
  <c r="H56" i="7"/>
  <c r="F44" i="7"/>
  <c r="D49" i="7"/>
  <c r="D52" i="7"/>
  <c r="D39" i="7"/>
  <c r="D23" i="7"/>
  <c r="D16" i="7"/>
  <c r="D55" i="7"/>
  <c r="D44" i="7"/>
  <c r="D54" i="7"/>
  <c r="D53" i="7"/>
  <c r="E18" i="5" l="1"/>
  <c r="I26" i="5"/>
  <c r="I18" i="5"/>
  <c r="I27" i="5"/>
  <c r="I19" i="5"/>
  <c r="E19" i="5"/>
  <c r="I20" i="5"/>
  <c r="E20" i="5"/>
  <c r="I28" i="5"/>
  <c r="E21" i="5"/>
  <c r="I21" i="5"/>
  <c r="I22" i="5"/>
  <c r="E22" i="5"/>
  <c r="H143" i="7"/>
  <c r="D143" i="7"/>
  <c r="E30" i="5"/>
  <c r="E29" i="5"/>
  <c r="E28" i="5"/>
  <c r="E27" i="5"/>
  <c r="F143" i="7"/>
  <c r="E26" i="5"/>
  <c r="G57" i="7"/>
  <c r="H73" i="7" s="1"/>
  <c r="H68" i="7"/>
  <c r="H67" i="7"/>
  <c r="H66" i="7"/>
  <c r="H65" i="7"/>
  <c r="H42" i="7"/>
  <c r="C57" i="7"/>
  <c r="D73" i="7" s="1"/>
  <c r="F65" i="7"/>
  <c r="F68" i="7"/>
  <c r="F67" i="7"/>
  <c r="F66" i="7"/>
  <c r="D66" i="7"/>
  <c r="D65" i="7"/>
  <c r="D67" i="7"/>
  <c r="D68" i="7"/>
  <c r="E57" i="7"/>
  <c r="F73" i="7" s="1"/>
  <c r="H116" i="7"/>
  <c r="F116" i="7"/>
  <c r="H50" i="7"/>
  <c r="F50" i="7"/>
  <c r="F57" i="7" s="1"/>
  <c r="F59" i="7" s="1"/>
  <c r="K39" i="7"/>
  <c r="B27" i="7" s="1"/>
  <c r="D27" i="7" s="1"/>
  <c r="B24" i="7"/>
  <c r="D24" i="7" s="1"/>
  <c r="B25" i="7"/>
  <c r="D25" i="7" s="1"/>
  <c r="D116" i="7"/>
  <c r="D19" i="7"/>
  <c r="D18" i="7"/>
  <c r="H57" i="7" l="1"/>
  <c r="H60" i="7" s="1"/>
  <c r="D28" i="7"/>
  <c r="D50" i="7"/>
  <c r="D57" i="7" s="1"/>
  <c r="D59" i="7" s="1"/>
  <c r="F60" i="7"/>
  <c r="F62" i="7" s="1"/>
  <c r="D20" i="7"/>
  <c r="D98" i="7" s="1"/>
  <c r="H59" i="7" l="1"/>
  <c r="H62" i="7" s="1"/>
  <c r="F77" i="7"/>
  <c r="F79" i="7" s="1"/>
  <c r="H77" i="7"/>
  <c r="D77" i="7"/>
  <c r="D60" i="7"/>
  <c r="D62" i="7" s="1"/>
  <c r="H79" i="7" l="1"/>
  <c r="D79" i="7"/>
  <c r="D81" i="7" l="1"/>
  <c r="D83" i="7" s="1"/>
  <c r="D85" i="7" s="1"/>
  <c r="D87" i="7" s="1"/>
  <c r="G12" i="3"/>
  <c r="G13" i="3"/>
  <c r="G14" i="3"/>
  <c r="G15" i="3"/>
  <c r="G11" i="3"/>
  <c r="H11" i="3"/>
  <c r="E12" i="3"/>
  <c r="E13" i="3"/>
  <c r="E14" i="3"/>
  <c r="E15" i="3"/>
  <c r="E11" i="3"/>
  <c r="C90" i="2" l="1"/>
  <c r="G121" i="7"/>
  <c r="H121" i="7" s="1"/>
  <c r="E121" i="7"/>
  <c r="F121" i="7" s="1"/>
  <c r="C121" i="7"/>
  <c r="D121" i="7" s="1"/>
  <c r="C93" i="2"/>
  <c r="E124" i="7"/>
  <c r="F124" i="7" s="1"/>
  <c r="C124" i="7"/>
  <c r="D124" i="7" s="1"/>
  <c r="G124" i="7"/>
  <c r="H124" i="7" s="1"/>
  <c r="C92" i="2"/>
  <c r="C123" i="7"/>
  <c r="D123" i="7" s="1"/>
  <c r="E123" i="7"/>
  <c r="F123" i="7" s="1"/>
  <c r="G123" i="7"/>
  <c r="H123" i="7" s="1"/>
  <c r="C141" i="7"/>
  <c r="D141" i="7" s="1"/>
  <c r="E141" i="7"/>
  <c r="F141" i="7" s="1"/>
  <c r="G141" i="7"/>
  <c r="H141" i="7" s="1"/>
  <c r="C112" i="2"/>
  <c r="C142" i="7"/>
  <c r="D142" i="7" s="1"/>
  <c r="G142" i="7"/>
  <c r="H142" i="7" s="1"/>
  <c r="E142" i="7"/>
  <c r="F142" i="7" s="1"/>
  <c r="C113" i="2"/>
  <c r="C89" i="2"/>
  <c r="G120" i="7"/>
  <c r="H120" i="7" s="1"/>
  <c r="E120" i="7"/>
  <c r="F120" i="7" s="1"/>
  <c r="C120" i="7"/>
  <c r="D120" i="7" s="1"/>
  <c r="C91" i="2"/>
  <c r="C122" i="7"/>
  <c r="D122" i="7" s="1"/>
  <c r="G122" i="7"/>
  <c r="H122" i="7" s="1"/>
  <c r="E122" i="7"/>
  <c r="F122" i="7" s="1"/>
  <c r="D47" i="2"/>
  <c r="H125" i="7" l="1"/>
  <c r="F144" i="7"/>
  <c r="H144" i="7"/>
  <c r="D144" i="7"/>
  <c r="D125" i="7"/>
  <c r="F125" i="7"/>
  <c r="D10" i="2" l="1"/>
  <c r="D114" i="2" l="1"/>
  <c r="D113" i="2"/>
  <c r="D112" i="2"/>
  <c r="D48" i="2"/>
  <c r="D36" i="2"/>
  <c r="D38" i="2"/>
  <c r="D37" i="2"/>
  <c r="C21" i="2"/>
  <c r="C28" i="2" s="1"/>
  <c r="D44" i="2" s="1"/>
  <c r="D39" i="2"/>
  <c r="D115" i="2" l="1"/>
  <c r="D98" i="2"/>
  <c r="D97" i="2"/>
  <c r="D87" i="2"/>
  <c r="D86" i="2"/>
  <c r="D93" i="2" l="1"/>
  <c r="D92" i="2"/>
  <c r="D89" i="2"/>
  <c r="D91" i="2"/>
  <c r="D90" i="2"/>
  <c r="D52" i="2"/>
  <c r="E30" i="3" l="1"/>
  <c r="C30" i="3"/>
  <c r="B13" i="3" s="1"/>
  <c r="D29" i="3"/>
  <c r="D30" i="3" s="1"/>
  <c r="D24" i="3"/>
  <c r="C24" i="3"/>
  <c r="D23" i="3"/>
  <c r="C23" i="3"/>
  <c r="F22" i="3"/>
  <c r="D22" i="3"/>
  <c r="C22" i="3"/>
  <c r="F21" i="3"/>
  <c r="D21" i="3"/>
  <c r="C21" i="3"/>
  <c r="F20" i="3"/>
  <c r="D20" i="3"/>
  <c r="C20" i="3"/>
  <c r="B11" i="3" l="1"/>
  <c r="C129" i="7" s="1"/>
  <c r="D129" i="7" s="1"/>
  <c r="B14" i="3"/>
  <c r="E132" i="7" s="1"/>
  <c r="F132" i="7" s="1"/>
  <c r="G131" i="7"/>
  <c r="H131" i="7" s="1"/>
  <c r="E131" i="7"/>
  <c r="F131" i="7" s="1"/>
  <c r="C102" i="2"/>
  <c r="D102" i="2" s="1"/>
  <c r="C131" i="7"/>
  <c r="D131" i="7" s="1"/>
  <c r="D94" i="2"/>
  <c r="B15" i="3"/>
  <c r="B12" i="3"/>
  <c r="C132" i="7" l="1"/>
  <c r="D132" i="7" s="1"/>
  <c r="G132" i="7"/>
  <c r="H132" i="7" s="1"/>
  <c r="C103" i="2"/>
  <c r="D103" i="2" s="1"/>
  <c r="C100" i="2"/>
  <c r="E129" i="7"/>
  <c r="F129" i="7" s="1"/>
  <c r="G129" i="7"/>
  <c r="H129" i="7" s="1"/>
  <c r="E133" i="7"/>
  <c r="F133" i="7" s="1"/>
  <c r="G133" i="7"/>
  <c r="H133" i="7" s="1"/>
  <c r="G130" i="7"/>
  <c r="H130" i="7" s="1"/>
  <c r="E130" i="7"/>
  <c r="F130" i="7" s="1"/>
  <c r="C104" i="2"/>
  <c r="D104" i="2" s="1"/>
  <c r="C133" i="7"/>
  <c r="D133" i="7" s="1"/>
  <c r="C101" i="2"/>
  <c r="D101" i="2" s="1"/>
  <c r="C130" i="7"/>
  <c r="D130" i="7" s="1"/>
  <c r="D67" i="2"/>
  <c r="D14" i="2"/>
  <c r="D15" i="2"/>
  <c r="D16" i="2"/>
  <c r="D17" i="2"/>
  <c r="D18" i="2"/>
  <c r="D19" i="2"/>
  <c r="D20" i="2"/>
  <c r="D21" i="2"/>
  <c r="D22" i="2"/>
  <c r="D23" i="2"/>
  <c r="D24" i="2"/>
  <c r="D25" i="2"/>
  <c r="D26" i="2"/>
  <c r="D27" i="2"/>
  <c r="D13" i="2"/>
  <c r="D83" i="2" l="1"/>
  <c r="F134" i="7"/>
  <c r="F146" i="7" s="1"/>
  <c r="H134" i="7"/>
  <c r="H146" i="7" s="1"/>
  <c r="D134" i="7"/>
  <c r="D146" i="7" s="1"/>
  <c r="D28" i="2"/>
  <c r="D30" i="2" s="1"/>
  <c r="D148" i="7" l="1"/>
  <c r="D150" i="7" s="1"/>
  <c r="B45" i="5" s="1"/>
  <c r="D31" i="2"/>
  <c r="D33" i="2" s="1"/>
  <c r="D54" i="2" s="1"/>
  <c r="D57" i="2" s="1"/>
  <c r="D100" i="2" l="1"/>
  <c r="D105" i="2" s="1"/>
  <c r="D118" i="2" s="1"/>
  <c r="D120" i="2" l="1"/>
  <c r="D122" i="2" s="1"/>
  <c r="B41" i="5" s="1"/>
</calcChain>
</file>

<file path=xl/sharedStrings.xml><?xml version="1.0" encoding="utf-8"?>
<sst xmlns="http://schemas.openxmlformats.org/spreadsheetml/2006/main" count="627" uniqueCount="242">
  <si>
    <t>Personnel</t>
  </si>
  <si>
    <t>Executive Director/Program Director</t>
  </si>
  <si>
    <t>Human Resources Director</t>
  </si>
  <si>
    <t>Education Coordinator</t>
  </si>
  <si>
    <t>Business/Finance Manager</t>
  </si>
  <si>
    <t>Family Engagement Supervisor</t>
  </si>
  <si>
    <t>Health Coordinator</t>
  </si>
  <si>
    <t>Home Visitor</t>
  </si>
  <si>
    <t>Staff Serving PARTNER SITES</t>
  </si>
  <si>
    <t>Other</t>
  </si>
  <si>
    <t>Subtotal Salaries</t>
  </si>
  <si>
    <t>FICA</t>
  </si>
  <si>
    <t>EXPENSES</t>
  </si>
  <si>
    <t>Site Director</t>
  </si>
  <si>
    <t>Assistant Director</t>
  </si>
  <si>
    <t xml:space="preserve">Teachers 3 - 5 </t>
  </si>
  <si>
    <t xml:space="preserve">Teachers 0 - 3 </t>
  </si>
  <si>
    <t>Teacher Assistants</t>
  </si>
  <si>
    <t>Teacher Aides</t>
  </si>
  <si>
    <t>Lead Floater teacher/sub</t>
  </si>
  <si>
    <t>Assistant floater teacher/sub</t>
  </si>
  <si>
    <t>Family Engagement Specialists</t>
  </si>
  <si>
    <t>Infant Toddler Specialist</t>
  </si>
  <si>
    <t>Nurse</t>
  </si>
  <si>
    <t>Cook</t>
  </si>
  <si>
    <t>Asst Cook/Food aide</t>
  </si>
  <si>
    <t>Administrative Assistant</t>
  </si>
  <si>
    <t>Maintenance Workers</t>
  </si>
  <si>
    <t>Other (please specify)</t>
  </si>
  <si>
    <t>#FTE</t>
  </si>
  <si>
    <t>Salary</t>
  </si>
  <si>
    <t>Benefits</t>
  </si>
  <si>
    <t>Other fringe</t>
  </si>
  <si>
    <t>Total Personnel</t>
  </si>
  <si>
    <t>Non-personnel</t>
  </si>
  <si>
    <t>Food (include food and kitchen supplies)</t>
  </si>
  <si>
    <t>Office suplies &amp; equipment</t>
  </si>
  <si>
    <t>Education supplies &amp; equipment</t>
  </si>
  <si>
    <t>Marketing, printing &amp; postage</t>
  </si>
  <si>
    <t>Rent/Lease</t>
  </si>
  <si>
    <t>Utilities (gas, electric, internet, phone)</t>
  </si>
  <si>
    <t>Maintenance/Repair/Cleaning</t>
  </si>
  <si>
    <t>Fees/Permits/Licenses/Taxes</t>
  </si>
  <si>
    <t>Accounting/legal/audits</t>
  </si>
  <si>
    <t>Staff training &amp; education</t>
  </si>
  <si>
    <t>Transportation</t>
  </si>
  <si>
    <t>Miscellaneous</t>
  </si>
  <si>
    <t># children</t>
  </si>
  <si>
    <t># classrooms</t>
  </si>
  <si>
    <t>infants</t>
  </si>
  <si>
    <t>toddlers</t>
  </si>
  <si>
    <t>two year olds</t>
  </si>
  <si>
    <t>ENROLLMENT</t>
  </si>
  <si>
    <t>preschool (4 yo)</t>
  </si>
  <si>
    <t>preschool (3 yo)</t>
  </si>
  <si>
    <t>Total</t>
  </si>
  <si>
    <t>REVENUE</t>
  </si>
  <si>
    <t>HS_only</t>
  </si>
  <si>
    <t>PI_and_EHS</t>
  </si>
  <si>
    <t>% 0-3 Eligible for CCAP</t>
  </si>
  <si>
    <t>% 3-5 Eligible for CCAP</t>
  </si>
  <si>
    <t>% 0-3 Private Pay</t>
  </si>
  <si>
    <t>% 3-5 Private Pay</t>
  </si>
  <si>
    <t>PFA_only</t>
  </si>
  <si>
    <t>PFA_and_ HS</t>
  </si>
  <si>
    <t>PI_only_for_2s</t>
  </si>
  <si>
    <t>PI_only_for_all</t>
  </si>
  <si>
    <t>Age group</t>
  </si>
  <si>
    <t>Weekly Private Pay Rate</t>
  </si>
  <si>
    <t>EHS/HS rate/child (annual)</t>
  </si>
  <si>
    <t>Prevention Initiative/PFA rate (annual)</t>
  </si>
  <si>
    <t>Infants</t>
  </si>
  <si>
    <t>$</t>
  </si>
  <si>
    <t>Toddlers</t>
  </si>
  <si>
    <t>Two-year-olds</t>
  </si>
  <si>
    <t>Preschool (3 year olds)</t>
  </si>
  <si>
    <t>-</t>
  </si>
  <si>
    <t>Preschool (4 year olds)</t>
  </si>
  <si>
    <t>Before/After School</t>
  </si>
  <si>
    <t>N/A</t>
  </si>
  <si>
    <t>Annual Private Pay Rate</t>
  </si>
  <si>
    <t>Annual CCAP rate/child + ExceleRate Add-on</t>
  </si>
  <si>
    <t>Early Head Start - Child Care Partnership (annual)</t>
  </si>
  <si>
    <t>USDA free annual rate</t>
  </si>
  <si>
    <t>USDA reduced annual rate</t>
  </si>
  <si>
    <t>USDA paid annual rate</t>
  </si>
  <si>
    <t>PARTNER SITES REVENUE</t>
  </si>
  <si>
    <t>Full year</t>
  </si>
  <si>
    <t>Summer only</t>
  </si>
  <si>
    <t>School year</t>
  </si>
  <si>
    <t>Days in child care center</t>
  </si>
  <si>
    <t>Weeks in child care center</t>
  </si>
  <si>
    <t>1 per site</t>
  </si>
  <si>
    <t>1 per classroom</t>
  </si>
  <si>
    <t>1 per PI site</t>
  </si>
  <si>
    <t>CCAP funding</t>
  </si>
  <si>
    <t>DO NOT CHANGE</t>
  </si>
  <si>
    <t>ENTER FOR YOUR CENTER</t>
  </si>
  <si>
    <t>Private Pay rates</t>
  </si>
  <si>
    <t>Total Non-Personnel</t>
  </si>
  <si>
    <t>TOTAL EXPENSES</t>
  </si>
  <si>
    <t>Private Pay</t>
  </si>
  <si>
    <t>Set % for center</t>
  </si>
  <si>
    <t>Agency staff occupancy/rent @ rate/FTE</t>
  </si>
  <si>
    <t>Insurance/Liability (per child)</t>
  </si>
  <si>
    <t>Indirect Administrative Expenses</t>
  </si>
  <si>
    <t>NET REVENUE (DEFICIT)</t>
  </si>
  <si>
    <t>FRINGE RATE</t>
  </si>
  <si>
    <t>Choose salary scale</t>
  </si>
  <si>
    <t>Choose fringe amount</t>
  </si>
  <si>
    <t>CCAP eligibility</t>
  </si>
  <si>
    <t>SITE PERSONNEL</t>
  </si>
  <si>
    <t>AGENCY PERSONNEL</t>
  </si>
  <si>
    <t>National Averages (PCQC)</t>
  </si>
  <si>
    <t>per child</t>
  </si>
  <si>
    <t>per sq foot</t>
  </si>
  <si>
    <t>per site</t>
  </si>
  <si>
    <t>per staff</t>
  </si>
  <si>
    <t>Insurance</t>
  </si>
  <si>
    <t>Telephone &amp; Internet</t>
  </si>
  <si>
    <t>1 per 34 children</t>
  </si>
  <si>
    <t>Avg sq. ft/clrm</t>
  </si>
  <si>
    <t>Legal/Audit/Acct support (per site)</t>
  </si>
  <si>
    <t>Consultation--MH, nutrition, health, etc. (per classroom)</t>
  </si>
  <si>
    <t>IT support (per classroom)</t>
  </si>
  <si>
    <t>per classroom</t>
  </si>
  <si>
    <t>HS &amp; PFA</t>
  </si>
  <si>
    <t>HS only</t>
  </si>
  <si>
    <t>PFA only</t>
  </si>
  <si>
    <t>EHS &amp; PI</t>
  </si>
  <si>
    <t>CENTER REVENUE</t>
  </si>
  <si>
    <t>TOTAL CENTER EXPENSES</t>
  </si>
  <si>
    <t>TOTALCENTER REVENUE</t>
  </si>
  <si>
    <t>EHS only</t>
  </si>
  <si>
    <t>EHS_only</t>
  </si>
  <si>
    <t># FTE PERSONNEL</t>
  </si>
  <si>
    <t>ANNUAL AMOUNTS</t>
  </si>
  <si>
    <t>None</t>
  </si>
  <si>
    <t>CHILD CARE CENTER OPERATIONAL BUDGET (SINGLE SITE)</t>
  </si>
  <si>
    <t>CHILD CARE CENTER OPERATIONAL BUDGET (MULTIPLE SITES)</t>
  </si>
  <si>
    <t>AGENCY WIDE EXPENSES</t>
  </si>
  <si>
    <t>Agency Wide Personnel Total</t>
  </si>
  <si>
    <t>Non-Personnel Agency Wide Expenses</t>
  </si>
  <si>
    <t>Subtotal Non-Personnel Agency</t>
  </si>
  <si>
    <t># FTE, Children, Classrooms</t>
  </si>
  <si>
    <t>Rate</t>
  </si>
  <si>
    <t>SITE 2</t>
  </si>
  <si>
    <t>SITE 3</t>
  </si>
  <si>
    <t>SITE 1</t>
  </si>
  <si>
    <t>Sites Expenses Total</t>
  </si>
  <si>
    <t>Subtotal Agency Expenses</t>
  </si>
  <si>
    <t>SITE REVENUE</t>
  </si>
  <si>
    <t>MULTI-SITE 
NET REVENUE (DEFICIT)</t>
  </si>
  <si>
    <t>SINGLE SITE 
NET REVENUE (DEFICIT)</t>
  </si>
  <si>
    <t>TOTAL CLASSROOMS</t>
  </si>
  <si>
    <t>TOTAL CHILDREN</t>
  </si>
  <si>
    <t>Licensing Standards</t>
  </si>
  <si>
    <t>PI/PFA or EHS/HS</t>
  </si>
  <si>
    <t>Infants (6wks - 14 mo)</t>
  </si>
  <si>
    <t>GROUP SIZE</t>
  </si>
  <si>
    <t>Toddlers (15mo - 23mo)</t>
  </si>
  <si>
    <t>Two year olds</t>
  </si>
  <si>
    <t>Threes PreK</t>
  </si>
  <si>
    <t>Fours PreK</t>
  </si>
  <si>
    <t>RATIOS</t>
  </si>
  <si>
    <t>Per</t>
  </si>
  <si>
    <t>CACFP</t>
  </si>
  <si>
    <t>free</t>
  </si>
  <si>
    <t>reduced</t>
  </si>
  <si>
    <t>% eligible for free</t>
  </si>
  <si>
    <t>% eligible for reduced</t>
  </si>
  <si>
    <t>Site Director (licensed)</t>
  </si>
  <si>
    <t xml:space="preserve">Program Director (licensed) </t>
  </si>
  <si>
    <t xml:space="preserve">PI only </t>
  </si>
  <si>
    <t xml:space="preserve">EHS-CCP only </t>
  </si>
  <si>
    <t>EHS-CCP only</t>
  </si>
  <si>
    <t>CURRENT AVERAGE SALARY</t>
  </si>
  <si>
    <t>RECOMMENDED SALARY</t>
  </si>
  <si>
    <t>HIGHEST SALARY</t>
  </si>
  <si>
    <t>RECOMMENDED FRINGE</t>
  </si>
  <si>
    <t>HIGHEST FRINGE</t>
  </si>
  <si>
    <t>1 per clssrm (inf-preK)</t>
  </si>
  <si>
    <t>1 per 5 classrooms</t>
  </si>
  <si>
    <t># FTE RECOMMENDED</t>
  </si>
  <si>
    <t>Daily CCAP rate/child + ExceleRate Add-on</t>
  </si>
  <si>
    <t>Early Head Start - Child Care Partnership</t>
  </si>
  <si>
    <t>USDA free daily rate</t>
  </si>
  <si>
    <t>USDA reduced daily rate</t>
  </si>
  <si>
    <t>USDA paid daily rate</t>
  </si>
  <si>
    <t>REVENUE SOURCES</t>
  </si>
  <si>
    <t>CURRENT AVERAGE FRINGE</t>
  </si>
  <si>
    <t>Teachers 3-5</t>
  </si>
  <si>
    <t>Teachers 0-3</t>
  </si>
  <si>
    <t>DFSS rates per child</t>
  </si>
  <si>
    <t>Multi-Site</t>
  </si>
  <si>
    <t>Single Site</t>
  </si>
  <si>
    <t>% eligible for paid</t>
  </si>
  <si>
    <t>paid</t>
  </si>
  <si>
    <t>annual amount/child</t>
  </si>
  <si>
    <t>CCAP total funding</t>
  </si>
  <si>
    <t>Private pay total funding</t>
  </si>
  <si>
    <t>CACFP total funding</t>
  </si>
  <si>
    <t>CACFP rates</t>
  </si>
  <si>
    <t>NUMBER OF CHILDREN RECEIVING CCCAP FUNDING</t>
  </si>
  <si>
    <t>Fill in orange cells</t>
  </si>
  <si>
    <t># of days care is provided (annually</t>
  </si>
  <si>
    <t>ENTER FOR YOUR CENTER (REQUIRED)</t>
  </si>
  <si>
    <t>Early Head Start/Head Start funding eligibility</t>
  </si>
  <si>
    <t>% 0-3 Eligible for EHS funding</t>
  </si>
  <si>
    <t>% 3-5 Eligible for HS funding</t>
  </si>
  <si>
    <t>Prevention Initiative/PFA funding eligibility</t>
  </si>
  <si>
    <t>% 0-3 Eligible for PI funding</t>
  </si>
  <si>
    <t>% 3-5 Eligible for PFA funding</t>
  </si>
  <si>
    <t>EHS- CC Partnership funding eligibility</t>
  </si>
  <si>
    <t>% 0-3 Eligible for EHS-CCP funding</t>
  </si>
  <si>
    <t>NUMBER OF CHILDREN RECEIVING PI/PFA FUNDING</t>
  </si>
  <si>
    <t>NUMBER OF CHILDREN RECEIVING EHS/HS FUNDING</t>
  </si>
  <si>
    <t>NUMBER OF CHILDREN RECEIVING EHS-CCP FUNDING</t>
  </si>
  <si>
    <t>These tables calculate the number of children receiving each funding stream based on the percentages entered in the ORANGE cells on the left. Do not change the formulas in these tables.</t>
  </si>
  <si>
    <t>Prevention Initiative/Preschool for All funding</t>
  </si>
  <si>
    <t>PI/PFA total funding</t>
  </si>
  <si>
    <t>Early Head Start/Head Start funding</t>
  </si>
  <si>
    <t>EHS/HS total funding</t>
  </si>
  <si>
    <t>Early Head Start - Child Care Partnership funding</t>
  </si>
  <si>
    <t>EHS-CCP total funding</t>
  </si>
  <si>
    <t>PI/PFA site funding</t>
  </si>
  <si>
    <t>PI/PFA funding/child</t>
  </si>
  <si>
    <t>EHS/HS funding/child</t>
  </si>
  <si>
    <t>EHS/HS site funding</t>
  </si>
  <si>
    <t>EHS-CCP funding/child</t>
  </si>
  <si>
    <t>EHS-CCP site funding</t>
  </si>
  <si>
    <t>% 0-3 Eligible for PI</t>
  </si>
  <si>
    <t>% 3-5 Eligible for PFA</t>
  </si>
  <si>
    <t>% 0-3 Eligible for EHS</t>
  </si>
  <si>
    <t>% 3-5 Eligible for HS</t>
  </si>
  <si>
    <t>% 0-3 Eligible for EHS-CCP</t>
  </si>
  <si>
    <t>*this includes Nurse</t>
  </si>
  <si>
    <t>Nurse*</t>
  </si>
  <si>
    <t>*included in consultant cost (non-personnel expense)</t>
  </si>
  <si>
    <t>Consultation
(mental health, nutrition, health, etc.)*</t>
  </si>
  <si>
    <r>
      <rPr>
        <b/>
        <sz val="12"/>
        <color theme="1"/>
        <rFont val="Arial"/>
        <family val="2"/>
      </rPr>
      <t xml:space="preserve">INSTRUCTIONS:
</t>
    </r>
    <r>
      <rPr>
        <sz val="12"/>
        <color theme="1"/>
        <rFont val="Arial"/>
        <family val="2"/>
      </rPr>
      <t>Cells colored GREEN have drop down menus. Please choose a variable from each drop down menu.
Cells colored ORANGE require numerical input. Please enter the correct # (i.e. % eligible for CCAP, # classrooms, etc) for each orange cell.
There are GREEN &amp; ORANGE cells on 4 tabs: Variables, SINGLE SITE BUDGET, MULTI-SITE BUDGET, &amp; Revenue Sources. You may choose either SINGLE or MULTI if you are only analzying one type. 
Return to this tab (Variable) to see the  Net Revenue /Deficit for a Single Site or Multiple Site program.</t>
    </r>
  </si>
  <si>
    <t>enter # of 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</si>
</sst>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164" formatCode="&quot;$&quot;#,##0"/>
    <numFmt numFmtId="165" formatCode="_(&quot;$&quot;* #,##0_);_(&quot;$&quot;* \(#,##0\);_(&quot;$&quot;* &quot;-&quot;??_);_(@_)"/>
    <numFmt numFmtId="166" formatCode="&quot;$&quot;#,##0.00"/>
    <numFmt numFmtId="167" formatCode="#,##0.0_);\(#,##0.0\)"/>
    <numFmt numFmtId="168" formatCode="0.0"/>
  </numFmts>
  <fonts count="21" x14ac:knownFonts="1">
    <font>
      <sz val="12"/>
      <color theme="1"/>
      <name val="Calibri"/>
      <family val="2"/>
      <scheme val="minor"/>
    </font>
    <font>
      <sz val="12"/>
      <color theme="1"/>
      <name val="Calibri"/>
      <family val="2"/>
      <scheme val="minor"/>
    </font>
    <font>
      <b/>
      <sz val="12"/>
      <color theme="1"/>
      <name val="Calibri"/>
      <family val="2"/>
      <scheme val="minor"/>
    </font>
    <font>
      <sz val="12"/>
      <name val="Arial"/>
      <family val="2"/>
    </font>
    <font>
      <sz val="10"/>
      <name val="Arial"/>
      <family val="2"/>
    </font>
    <font>
      <b/>
      <sz val="12"/>
      <name val="Arial"/>
      <family val="2"/>
    </font>
    <font>
      <b/>
      <sz val="10"/>
      <name val="Arial"/>
      <family val="2"/>
    </font>
    <font>
      <b/>
      <sz val="14"/>
      <color theme="1"/>
      <name val="Calibri"/>
      <family val="2"/>
      <scheme val="minor"/>
    </font>
    <font>
      <sz val="14"/>
      <color theme="1"/>
      <name val="Calibri"/>
      <family val="2"/>
      <scheme val="minor"/>
    </font>
    <font>
      <sz val="12"/>
      <color indexed="8"/>
      <name val="Arial"/>
      <family val="2"/>
    </font>
    <font>
      <sz val="12"/>
      <color theme="1"/>
      <name val="Arial"/>
      <family val="2"/>
    </font>
    <font>
      <b/>
      <sz val="12"/>
      <color theme="1"/>
      <name val="Arial"/>
      <family val="2"/>
    </font>
    <font>
      <b/>
      <sz val="14"/>
      <name val="Arial"/>
      <family val="2"/>
    </font>
    <font>
      <b/>
      <sz val="11"/>
      <name val="Arial"/>
      <family val="2"/>
    </font>
    <font>
      <sz val="10"/>
      <color theme="1"/>
      <name val="Arial"/>
      <family val="2"/>
    </font>
    <font>
      <b/>
      <sz val="18"/>
      <color theme="1"/>
      <name val="Calibri"/>
      <family val="2"/>
      <scheme val="minor"/>
    </font>
    <font>
      <b/>
      <sz val="14"/>
      <color theme="1"/>
      <name val="Arial"/>
      <family val="2"/>
    </font>
    <font>
      <b/>
      <u/>
      <sz val="14"/>
      <color theme="1"/>
      <name val="Arial"/>
      <family val="2"/>
    </font>
    <font>
      <b/>
      <u/>
      <sz val="12"/>
      <color theme="1"/>
      <name val="Arial"/>
      <family val="2"/>
    </font>
    <font>
      <i/>
      <sz val="12"/>
      <color theme="1"/>
      <name val="Calibri"/>
      <family val="2"/>
      <scheme val="minor"/>
    </font>
    <font>
      <sz val="12"/>
      <color rgb="FFFF0000"/>
      <name val="Calibri"/>
      <family val="2"/>
      <scheme val="minor"/>
    </font>
  </fonts>
  <fills count="12">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cellStyleXfs>
  <cellXfs count="349">
    <xf numFmtId="0" fontId="0" fillId="0" borderId="0" xfId="0"/>
    <xf numFmtId="37" fontId="5" fillId="0" borderId="0" xfId="0" applyNumberFormat="1" applyFont="1" applyFill="1" applyBorder="1" applyAlignment="1">
      <alignment horizontal="center"/>
    </xf>
    <xf numFmtId="9" fontId="0" fillId="0" borderId="0" xfId="0" applyNumberFormat="1"/>
    <xf numFmtId="0" fontId="7" fillId="0" borderId="0" xfId="0" applyFont="1"/>
    <xf numFmtId="0" fontId="2" fillId="0" borderId="0" xfId="0" applyFont="1" applyAlignment="1">
      <alignment horizontal="center"/>
    </xf>
    <xf numFmtId="0" fontId="0" fillId="0" borderId="0" xfId="0" applyFill="1"/>
    <xf numFmtId="0" fontId="10" fillId="0" borderId="0" xfId="0" applyFont="1"/>
    <xf numFmtId="0" fontId="11" fillId="0" borderId="0" xfId="0" applyFont="1" applyAlignment="1">
      <alignment horizontal="center"/>
    </xf>
    <xf numFmtId="0" fontId="11" fillId="0" borderId="0" xfId="0" applyFont="1"/>
    <xf numFmtId="0" fontId="8" fillId="0" borderId="2" xfId="0" applyFont="1" applyBorder="1"/>
    <xf numFmtId="0" fontId="10" fillId="0" borderId="2" xfId="0" applyFont="1" applyBorder="1"/>
    <xf numFmtId="0" fontId="4" fillId="0" borderId="0" xfId="0" applyFont="1"/>
    <xf numFmtId="165" fontId="0" fillId="0" borderId="0" xfId="1" applyNumberFormat="1" applyFont="1" applyFill="1"/>
    <xf numFmtId="0" fontId="4" fillId="0" borderId="0" xfId="3"/>
    <xf numFmtId="0" fontId="6" fillId="0" borderId="1" xfId="3" applyFont="1" applyBorder="1" applyAlignment="1">
      <alignment horizontal="center" vertical="center"/>
    </xf>
    <xf numFmtId="0" fontId="6" fillId="0" borderId="1" xfId="3" applyFont="1" applyBorder="1" applyAlignment="1">
      <alignment horizontal="center" vertical="center" wrapText="1"/>
    </xf>
    <xf numFmtId="44" fontId="6" fillId="0" borderId="1" xfId="4" applyFont="1" applyBorder="1" applyAlignment="1">
      <alignment horizontal="center" vertical="center" wrapText="1"/>
    </xf>
    <xf numFmtId="0" fontId="6" fillId="0" borderId="1" xfId="3" applyFont="1" applyFill="1" applyBorder="1" applyAlignment="1">
      <alignment horizontal="center" vertical="center" wrapText="1"/>
    </xf>
    <xf numFmtId="0" fontId="4" fillId="0" borderId="1" xfId="3" applyFont="1" applyBorder="1" applyAlignment="1"/>
    <xf numFmtId="0" fontId="4" fillId="2" borderId="1" xfId="3" applyFont="1" applyFill="1" applyBorder="1" applyAlignment="1">
      <alignment horizontal="right"/>
    </xf>
    <xf numFmtId="6" fontId="4" fillId="2" borderId="1" xfId="3" applyNumberFormat="1" applyFont="1" applyFill="1" applyBorder="1" applyAlignment="1">
      <alignment horizontal="right"/>
    </xf>
    <xf numFmtId="166" fontId="4" fillId="2" borderId="1" xfId="3" applyNumberFormat="1" applyFont="1" applyFill="1" applyBorder="1" applyAlignment="1">
      <alignment horizontal="right"/>
    </xf>
    <xf numFmtId="164" fontId="4" fillId="2" borderId="1" xfId="3" applyNumberFormat="1" applyFont="1" applyFill="1" applyBorder="1" applyAlignment="1">
      <alignment horizontal="right"/>
    </xf>
    <xf numFmtId="8" fontId="4" fillId="2" borderId="1" xfId="3" applyNumberFormat="1" applyFill="1" applyBorder="1"/>
    <xf numFmtId="0" fontId="4" fillId="0" borderId="0" xfId="3" applyFont="1"/>
    <xf numFmtId="0" fontId="4" fillId="0" borderId="0" xfId="3" applyFont="1" applyFill="1" applyBorder="1" applyAlignment="1"/>
    <xf numFmtId="0" fontId="4" fillId="0" borderId="14" xfId="3" applyFont="1" applyFill="1" applyBorder="1" applyAlignment="1">
      <alignment horizontal="right"/>
    </xf>
    <xf numFmtId="164" fontId="4" fillId="0" borderId="14" xfId="3" applyNumberFormat="1" applyFont="1" applyFill="1" applyBorder="1" applyAlignment="1">
      <alignment horizontal="right"/>
    </xf>
    <xf numFmtId="166" fontId="4" fillId="0" borderId="0" xfId="3" applyNumberFormat="1" applyFont="1" applyFill="1" applyBorder="1" applyAlignment="1">
      <alignment horizontal="right"/>
    </xf>
    <xf numFmtId="6" fontId="4" fillId="0" borderId="0" xfId="3" applyNumberFormat="1" applyFill="1" applyBorder="1"/>
    <xf numFmtId="0" fontId="4" fillId="0" borderId="0" xfId="3" applyFill="1"/>
    <xf numFmtId="0" fontId="4" fillId="0" borderId="1" xfId="3" applyBorder="1"/>
    <xf numFmtId="0" fontId="2" fillId="0" borderId="1" xfId="3" applyFont="1" applyBorder="1" applyAlignment="1">
      <alignment horizontal="center"/>
    </xf>
    <xf numFmtId="0" fontId="4" fillId="2" borderId="1" xfId="3" applyFill="1" applyBorder="1"/>
    <xf numFmtId="1" fontId="4" fillId="0" borderId="1" xfId="3" applyNumberFormat="1" applyBorder="1"/>
    <xf numFmtId="1" fontId="0" fillId="0" borderId="1" xfId="4" applyNumberFormat="1" applyFont="1" applyBorder="1"/>
    <xf numFmtId="0" fontId="0" fillId="0" borderId="0" xfId="0" applyAlignment="1">
      <alignment horizontal="center"/>
    </xf>
    <xf numFmtId="14" fontId="3" fillId="0" borderId="2" xfId="0" applyNumberFormat="1" applyFont="1" applyFill="1" applyBorder="1" applyAlignment="1" applyProtection="1">
      <alignment horizontal="left"/>
    </xf>
    <xf numFmtId="167" fontId="4" fillId="0" borderId="1" xfId="4" applyNumberFormat="1" applyFont="1" applyFill="1" applyBorder="1"/>
    <xf numFmtId="0" fontId="3" fillId="0" borderId="2" xfId="0" applyFont="1" applyFill="1" applyBorder="1" applyAlignment="1">
      <alignment horizontal="left"/>
    </xf>
    <xf numFmtId="0" fontId="3" fillId="0" borderId="2" xfId="0" applyNumberFormat="1" applyFont="1" applyFill="1" applyBorder="1" applyAlignment="1" applyProtection="1">
      <alignment horizontal="left"/>
    </xf>
    <xf numFmtId="0" fontId="3" fillId="0" borderId="2" xfId="0" applyFont="1" applyFill="1" applyBorder="1" applyAlignment="1"/>
    <xf numFmtId="0" fontId="3" fillId="0" borderId="2" xfId="0" applyNumberFormat="1" applyFont="1" applyFill="1" applyBorder="1" applyAlignment="1" applyProtection="1">
      <alignment horizontal="left"/>
      <protection locked="0"/>
    </xf>
    <xf numFmtId="0" fontId="0" fillId="0" borderId="1" xfId="0" applyBorder="1"/>
    <xf numFmtId="37" fontId="13" fillId="0" borderId="1" xfId="0" applyNumberFormat="1" applyFont="1" applyFill="1" applyBorder="1" applyAlignment="1">
      <alignment horizontal="center" wrapText="1"/>
    </xf>
    <xf numFmtId="0" fontId="11" fillId="0" borderId="1" xfId="0" applyFont="1" applyBorder="1" applyAlignment="1">
      <alignment horizontal="center"/>
    </xf>
    <xf numFmtId="14" fontId="3" fillId="0" borderId="1" xfId="0" applyNumberFormat="1" applyFont="1" applyFill="1" applyBorder="1" applyAlignment="1" applyProtection="1">
      <alignment horizontal="right"/>
    </xf>
    <xf numFmtId="0" fontId="3" fillId="0" borderId="1" xfId="0" applyFont="1" applyFill="1" applyBorder="1" applyAlignment="1">
      <alignment horizontal="right"/>
    </xf>
    <xf numFmtId="0" fontId="3" fillId="0" borderId="1" xfId="0" applyNumberFormat="1" applyFont="1" applyFill="1" applyBorder="1" applyAlignment="1" applyProtection="1">
      <alignment horizontal="right"/>
    </xf>
    <xf numFmtId="0" fontId="3" fillId="0" borderId="1" xfId="0" applyNumberFormat="1" applyFont="1" applyFill="1" applyBorder="1" applyAlignment="1" applyProtection="1">
      <alignment horizontal="right"/>
      <protection locked="0"/>
    </xf>
    <xf numFmtId="0" fontId="5" fillId="0" borderId="1" xfId="0" applyNumberFormat="1" applyFont="1" applyFill="1" applyBorder="1" applyAlignment="1" applyProtection="1">
      <alignment horizontal="center"/>
    </xf>
    <xf numFmtId="0" fontId="11" fillId="0" borderId="11" xfId="0" applyFont="1" applyBorder="1" applyAlignment="1">
      <alignment horizontal="center"/>
    </xf>
    <xf numFmtId="0" fontId="10" fillId="0" borderId="11" xfId="0" applyFont="1" applyBorder="1"/>
    <xf numFmtId="0" fontId="15" fillId="0" borderId="0" xfId="0" applyFont="1"/>
    <xf numFmtId="0" fontId="17" fillId="0" borderId="0" xfId="0" applyFont="1"/>
    <xf numFmtId="0" fontId="3" fillId="0" borderId="0" xfId="0" applyFont="1" applyAlignment="1">
      <alignment horizontal="right"/>
    </xf>
    <xf numFmtId="0" fontId="0" fillId="0" borderId="0" xfId="0" applyFont="1" applyFill="1"/>
    <xf numFmtId="0" fontId="2" fillId="0" borderId="0" xfId="0" applyFont="1"/>
    <xf numFmtId="0" fontId="10" fillId="0" borderId="0" xfId="0" applyFont="1" applyBorder="1"/>
    <xf numFmtId="0" fontId="0" fillId="0" borderId="0" xfId="0" applyFont="1" applyBorder="1" applyAlignment="1">
      <alignment horizontal="center" vertical="center"/>
    </xf>
    <xf numFmtId="0" fontId="3" fillId="0" borderId="4" xfId="0" applyFont="1" applyBorder="1"/>
    <xf numFmtId="0" fontId="3" fillId="0" borderId="6" xfId="0" applyFont="1" applyBorder="1"/>
    <xf numFmtId="0" fontId="0" fillId="0" borderId="6" xfId="0" applyFont="1" applyBorder="1"/>
    <xf numFmtId="0" fontId="3" fillId="0" borderId="8" xfId="0" applyFont="1" applyBorder="1"/>
    <xf numFmtId="0" fontId="0" fillId="0" borderId="0" xfId="0" applyBorder="1"/>
    <xf numFmtId="9" fontId="0" fillId="0" borderId="0" xfId="2" applyFont="1" applyFill="1" applyBorder="1"/>
    <xf numFmtId="0" fontId="2" fillId="0" borderId="1" xfId="0" applyFont="1" applyBorder="1" applyAlignment="1">
      <alignment horizontal="center"/>
    </xf>
    <xf numFmtId="0" fontId="2" fillId="0" borderId="1" xfId="0" applyFont="1" applyFill="1" applyBorder="1" applyAlignment="1">
      <alignment horizontal="center"/>
    </xf>
    <xf numFmtId="0" fontId="9" fillId="0" borderId="1" xfId="0" applyFont="1" applyFill="1" applyBorder="1" applyAlignment="1">
      <alignment horizontal="right"/>
    </xf>
    <xf numFmtId="37" fontId="3" fillId="0" borderId="1" xfId="1" applyNumberFormat="1" applyFont="1" applyFill="1" applyBorder="1" applyAlignment="1">
      <alignment horizontal="right"/>
    </xf>
    <xf numFmtId="0" fontId="0" fillId="0" borderId="0" xfId="0" applyFill="1" applyBorder="1"/>
    <xf numFmtId="0" fontId="0" fillId="0" borderId="12" xfId="0" applyBorder="1"/>
    <xf numFmtId="164" fontId="0" fillId="0" borderId="0" xfId="0" applyNumberFormat="1" applyBorder="1"/>
    <xf numFmtId="0" fontId="3" fillId="0" borderId="1" xfId="0" applyFont="1" applyBorder="1" applyAlignment="1">
      <alignment horizontal="right" wrapText="1"/>
    </xf>
    <xf numFmtId="0" fontId="3" fillId="0" borderId="0" xfId="0" applyFont="1" applyBorder="1" applyAlignment="1">
      <alignment horizontal="right" wrapText="1"/>
    </xf>
    <xf numFmtId="0" fontId="10" fillId="0" borderId="1" xfId="0" applyFont="1" applyBorder="1"/>
    <xf numFmtId="0" fontId="5" fillId="0" borderId="1" xfId="0" applyNumberFormat="1" applyFont="1" applyFill="1" applyBorder="1" applyAlignment="1" applyProtection="1">
      <alignment horizontal="right"/>
    </xf>
    <xf numFmtId="0" fontId="7" fillId="0" borderId="0" xfId="0" applyFont="1" applyBorder="1"/>
    <xf numFmtId="0" fontId="0" fillId="0" borderId="17" xfId="0" applyBorder="1"/>
    <xf numFmtId="0" fontId="7" fillId="0" borderId="17" xfId="0" applyFont="1" applyBorder="1"/>
    <xf numFmtId="0" fontId="7" fillId="0" borderId="0" xfId="0" applyFont="1" applyBorder="1" applyAlignment="1">
      <alignment horizontal="left"/>
    </xf>
    <xf numFmtId="0" fontId="0" fillId="0" borderId="11" xfId="0" applyBorder="1"/>
    <xf numFmtId="10" fontId="10" fillId="0" borderId="11" xfId="0" applyNumberFormat="1" applyFont="1" applyFill="1" applyBorder="1"/>
    <xf numFmtId="0" fontId="0" fillId="0" borderId="15" xfId="0" applyFill="1" applyBorder="1"/>
    <xf numFmtId="0" fontId="16" fillId="0" borderId="18" xfId="0" applyFont="1" applyBorder="1" applyAlignment="1">
      <alignment horizontal="left"/>
    </xf>
    <xf numFmtId="164" fontId="0" fillId="0" borderId="1" xfId="0" applyNumberFormat="1" applyBorder="1"/>
    <xf numFmtId="0" fontId="10" fillId="0" borderId="21" xfId="0" applyFont="1" applyBorder="1"/>
    <xf numFmtId="0" fontId="10" fillId="0" borderId="24" xfId="0" applyFont="1" applyBorder="1"/>
    <xf numFmtId="164" fontId="0" fillId="0" borderId="21" xfId="0" applyNumberFormat="1" applyBorder="1"/>
    <xf numFmtId="164" fontId="0" fillId="0" borderId="24" xfId="0" applyNumberFormat="1" applyBorder="1"/>
    <xf numFmtId="164" fontId="14" fillId="0" borderId="1" xfId="0" applyNumberFormat="1" applyFont="1" applyBorder="1"/>
    <xf numFmtId="164" fontId="4" fillId="0" borderId="1" xfId="4" applyNumberFormat="1" applyFont="1" applyFill="1" applyBorder="1"/>
    <xf numFmtId="0" fontId="5" fillId="0" borderId="0" xfId="0" applyFont="1"/>
    <xf numFmtId="0" fontId="0" fillId="0" borderId="20" xfId="0" applyBorder="1"/>
    <xf numFmtId="0" fontId="0" fillId="0" borderId="23" xfId="0" applyBorder="1"/>
    <xf numFmtId="0" fontId="2" fillId="0" borderId="12" xfId="0" applyFont="1" applyBorder="1"/>
    <xf numFmtId="164" fontId="0" fillId="0" borderId="0" xfId="0" applyNumberFormat="1" applyFill="1" applyBorder="1"/>
    <xf numFmtId="164" fontId="0" fillId="0" borderId="0" xfId="0" applyNumberFormat="1"/>
    <xf numFmtId="164" fontId="0" fillId="0" borderId="19" xfId="0" applyNumberFormat="1" applyBorder="1"/>
    <xf numFmtId="0" fontId="10" fillId="0" borderId="17" xfId="0" applyFont="1" applyBorder="1"/>
    <xf numFmtId="164" fontId="0" fillId="0" borderId="17" xfId="0" applyNumberFormat="1" applyBorder="1"/>
    <xf numFmtId="0" fontId="16" fillId="0" borderId="18" xfId="0" applyFont="1" applyBorder="1" applyAlignment="1">
      <alignment horizontal="center" vertical="center"/>
    </xf>
    <xf numFmtId="0" fontId="3" fillId="0" borderId="0" xfId="0" applyNumberFormat="1" applyFont="1" applyFill="1" applyBorder="1" applyAlignment="1" applyProtection="1">
      <alignment horizontal="left"/>
    </xf>
    <xf numFmtId="164" fontId="14" fillId="0" borderId="0" xfId="0" applyNumberFormat="1" applyFont="1" applyBorder="1"/>
    <xf numFmtId="164" fontId="4" fillId="0" borderId="0" xfId="4" applyNumberFormat="1" applyFont="1" applyFill="1" applyBorder="1"/>
    <xf numFmtId="0" fontId="2" fillId="0" borderId="0" xfId="0" applyFont="1" applyFill="1" applyBorder="1"/>
    <xf numFmtId="0" fontId="5" fillId="0" borderId="0" xfId="0" applyFont="1" applyFill="1" applyBorder="1"/>
    <xf numFmtId="0" fontId="0" fillId="0" borderId="1" xfId="0" applyBorder="1" applyAlignment="1">
      <alignment horizontal="right"/>
    </xf>
    <xf numFmtId="164" fontId="8" fillId="0" borderId="19" xfId="0" applyNumberFormat="1" applyFont="1" applyBorder="1"/>
    <xf numFmtId="166" fontId="0" fillId="0" borderId="0" xfId="0" applyNumberFormat="1"/>
    <xf numFmtId="0" fontId="11" fillId="0" borderId="20" xfId="0" applyFont="1" applyFill="1" applyBorder="1" applyAlignment="1">
      <alignment horizontal="center"/>
    </xf>
    <xf numFmtId="0" fontId="11" fillId="0" borderId="22" xfId="0" applyFont="1" applyFill="1" applyBorder="1" applyAlignment="1">
      <alignment horizontal="center"/>
    </xf>
    <xf numFmtId="0" fontId="10" fillId="0" borderId="10" xfId="0" applyFont="1" applyFill="1" applyBorder="1"/>
    <xf numFmtId="0" fontId="10" fillId="0" borderId="11" xfId="0" applyFont="1" applyFill="1" applyBorder="1"/>
    <xf numFmtId="0" fontId="8" fillId="0" borderId="10" xfId="0" applyFont="1" applyFill="1" applyBorder="1"/>
    <xf numFmtId="0" fontId="8" fillId="0" borderId="11" xfId="0" applyFont="1" applyFill="1" applyBorder="1"/>
    <xf numFmtId="0" fontId="10" fillId="0" borderId="6" xfId="0" applyFont="1" applyFill="1" applyBorder="1"/>
    <xf numFmtId="0" fontId="10" fillId="0" borderId="7" xfId="0" applyFont="1" applyFill="1" applyBorder="1"/>
    <xf numFmtId="0" fontId="11" fillId="0" borderId="10" xfId="0" applyFont="1" applyFill="1" applyBorder="1" applyAlignment="1">
      <alignment horizontal="center"/>
    </xf>
    <xf numFmtId="0" fontId="11" fillId="0" borderId="11" xfId="0" applyFont="1" applyFill="1" applyBorder="1" applyAlignment="1">
      <alignment horizontal="center"/>
    </xf>
    <xf numFmtId="0" fontId="10" fillId="0" borderId="11" xfId="0" applyFont="1" applyFill="1" applyBorder="1" applyAlignment="1"/>
    <xf numFmtId="164" fontId="10" fillId="0" borderId="11" xfId="0" applyNumberFormat="1" applyFont="1" applyFill="1" applyBorder="1"/>
    <xf numFmtId="0" fontId="10" fillId="0" borderId="3" xfId="0" applyFont="1" applyFill="1" applyBorder="1"/>
    <xf numFmtId="164" fontId="0" fillId="0" borderId="7" xfId="0" applyNumberFormat="1" applyFill="1" applyBorder="1"/>
    <xf numFmtId="0" fontId="0" fillId="0" borderId="10" xfId="0" applyFill="1" applyBorder="1"/>
    <xf numFmtId="164" fontId="0" fillId="0" borderId="16" xfId="0" applyNumberFormat="1" applyFill="1" applyBorder="1"/>
    <xf numFmtId="0" fontId="0" fillId="0" borderId="6" xfId="0" applyFill="1" applyBorder="1"/>
    <xf numFmtId="164" fontId="0" fillId="0" borderId="11" xfId="0" applyNumberFormat="1" applyFill="1" applyBorder="1"/>
    <xf numFmtId="0" fontId="0" fillId="0" borderId="8" xfId="0" applyFill="1" applyBorder="1"/>
    <xf numFmtId="164" fontId="0" fillId="0" borderId="9" xfId="0" applyNumberFormat="1" applyFill="1" applyBorder="1"/>
    <xf numFmtId="164" fontId="0" fillId="0" borderId="21" xfId="0" applyNumberFormat="1" applyFill="1" applyBorder="1"/>
    <xf numFmtId="164" fontId="0" fillId="0" borderId="1" xfId="0" applyNumberFormat="1" applyFill="1" applyBorder="1"/>
    <xf numFmtId="164" fontId="0" fillId="0" borderId="24" xfId="0" applyNumberFormat="1" applyFill="1" applyBorder="1"/>
    <xf numFmtId="9" fontId="0" fillId="0" borderId="0" xfId="0" applyNumberFormat="1" applyFill="1" applyBorder="1"/>
    <xf numFmtId="164" fontId="0" fillId="0" borderId="0" xfId="0" applyNumberFormat="1" applyFill="1"/>
    <xf numFmtId="165" fontId="0" fillId="3" borderId="5" xfId="1" applyNumberFormat="1" applyFont="1" applyFill="1" applyBorder="1"/>
    <xf numFmtId="165" fontId="0" fillId="3" borderId="7" xfId="1" applyNumberFormat="1" applyFont="1" applyFill="1" applyBorder="1"/>
    <xf numFmtId="37" fontId="0" fillId="3" borderId="7" xfId="1" applyNumberFormat="1" applyFont="1" applyFill="1" applyBorder="1"/>
    <xf numFmtId="165" fontId="0" fillId="3" borderId="9" xfId="1" applyNumberFormat="1" applyFont="1" applyFill="1" applyBorder="1"/>
    <xf numFmtId="0" fontId="5" fillId="0" borderId="0" xfId="0" applyNumberFormat="1" applyFont="1" applyFill="1" applyBorder="1" applyAlignment="1" applyProtection="1">
      <alignment horizontal="center"/>
    </xf>
    <xf numFmtId="37" fontId="5" fillId="0" borderId="1" xfId="0" applyNumberFormat="1" applyFont="1" applyFill="1" applyBorder="1" applyAlignment="1">
      <alignment horizontal="center"/>
    </xf>
    <xf numFmtId="0" fontId="8" fillId="0" borderId="1" xfId="0" applyFont="1" applyBorder="1"/>
    <xf numFmtId="0" fontId="8" fillId="0" borderId="0" xfId="0" applyFont="1"/>
    <xf numFmtId="0" fontId="7" fillId="0" borderId="1" xfId="0" applyFont="1" applyBorder="1"/>
    <xf numFmtId="10" fontId="10" fillId="0" borderId="1" xfId="0" applyNumberFormat="1" applyFont="1" applyFill="1" applyBorder="1"/>
    <xf numFmtId="0" fontId="7" fillId="0" borderId="1" xfId="0" applyFont="1" applyBorder="1" applyAlignment="1">
      <alignment horizontal="center"/>
    </xf>
    <xf numFmtId="0" fontId="0" fillId="0" borderId="1" xfId="0" applyFont="1" applyBorder="1"/>
    <xf numFmtId="0" fontId="10" fillId="4" borderId="11" xfId="0" applyFont="1" applyFill="1" applyBorder="1" applyAlignment="1">
      <alignment horizontal="center"/>
    </xf>
    <xf numFmtId="0" fontId="10" fillId="4" borderId="11" xfId="0" applyFont="1" applyFill="1" applyBorder="1"/>
    <xf numFmtId="0" fontId="8" fillId="4" borderId="11" xfId="0" applyFont="1" applyFill="1" applyBorder="1"/>
    <xf numFmtId="0" fontId="11" fillId="4" borderId="10" xfId="0" applyFont="1" applyFill="1" applyBorder="1" applyAlignment="1">
      <alignment horizontal="center"/>
    </xf>
    <xf numFmtId="0" fontId="11" fillId="4" borderId="11" xfId="0" applyFont="1" applyFill="1" applyBorder="1" applyAlignment="1">
      <alignment horizontal="center"/>
    </xf>
    <xf numFmtId="0" fontId="10" fillId="4" borderId="10" xfId="0" applyFont="1" applyFill="1" applyBorder="1"/>
    <xf numFmtId="164" fontId="10" fillId="4" borderId="11" xfId="0" applyNumberFormat="1" applyFont="1" applyFill="1" applyBorder="1"/>
    <xf numFmtId="164" fontId="0" fillId="4" borderId="7" xfId="0" applyNumberFormat="1" applyFill="1" applyBorder="1"/>
    <xf numFmtId="164" fontId="0" fillId="4" borderId="16" xfId="0" applyNumberFormat="1" applyFill="1" applyBorder="1"/>
    <xf numFmtId="164" fontId="0" fillId="4" borderId="15" xfId="0" applyNumberFormat="1" applyFill="1" applyBorder="1"/>
    <xf numFmtId="0" fontId="0" fillId="4" borderId="10" xfId="0" applyFill="1" applyBorder="1"/>
    <xf numFmtId="164" fontId="0" fillId="4" borderId="11" xfId="0" applyNumberFormat="1" applyFill="1" applyBorder="1"/>
    <xf numFmtId="0" fontId="11" fillId="0" borderId="2" xfId="0" applyFont="1" applyBorder="1" applyAlignment="1">
      <alignment horizontal="center"/>
    </xf>
    <xf numFmtId="10" fontId="10" fillId="0" borderId="2" xfId="0" applyNumberFormat="1" applyFont="1" applyFill="1" applyBorder="1"/>
    <xf numFmtId="0" fontId="0" fillId="0" borderId="13" xfId="0" applyFill="1" applyBorder="1"/>
    <xf numFmtId="0" fontId="0" fillId="0" borderId="2" xfId="0" applyBorder="1"/>
    <xf numFmtId="0" fontId="11" fillId="4" borderId="4" xfId="0" applyFont="1" applyFill="1" applyBorder="1"/>
    <xf numFmtId="0" fontId="18" fillId="4" borderId="5" xfId="0" applyFont="1" applyFill="1" applyBorder="1"/>
    <xf numFmtId="0" fontId="10" fillId="4" borderId="10" xfId="0" applyFont="1" applyFill="1" applyBorder="1" applyAlignment="1">
      <alignment horizontal="center"/>
    </xf>
    <xf numFmtId="0" fontId="8" fillId="4" borderId="10" xfId="0" applyFont="1" applyFill="1" applyBorder="1"/>
    <xf numFmtId="0" fontId="10" fillId="4" borderId="6" xfId="0" applyFont="1" applyFill="1" applyBorder="1"/>
    <xf numFmtId="0" fontId="10" fillId="4" borderId="7" xfId="0" applyFont="1" applyFill="1" applyBorder="1"/>
    <xf numFmtId="0" fontId="0" fillId="4" borderId="6" xfId="0" applyFill="1" applyBorder="1"/>
    <xf numFmtId="0" fontId="0" fillId="0" borderId="26" xfId="0" applyFill="1" applyBorder="1"/>
    <xf numFmtId="164" fontId="0" fillId="0" borderId="26" xfId="0" applyNumberFormat="1" applyFill="1" applyBorder="1"/>
    <xf numFmtId="0" fontId="0" fillId="5" borderId="10" xfId="0" applyFill="1" applyBorder="1"/>
    <xf numFmtId="0" fontId="0" fillId="5" borderId="1" xfId="0" applyFill="1" applyBorder="1"/>
    <xf numFmtId="0" fontId="0" fillId="5" borderId="23" xfId="0" applyFill="1" applyBorder="1"/>
    <xf numFmtId="0" fontId="0" fillId="5" borderId="24" xfId="0" applyFill="1" applyBorder="1"/>
    <xf numFmtId="0" fontId="10" fillId="5" borderId="27" xfId="0" applyFont="1" applyFill="1" applyBorder="1" applyAlignment="1"/>
    <xf numFmtId="0" fontId="10" fillId="5" borderId="10" xfId="0" applyFont="1" applyFill="1" applyBorder="1"/>
    <xf numFmtId="0" fontId="11" fillId="6" borderId="20" xfId="0" applyFont="1" applyFill="1" applyBorder="1" applyAlignment="1">
      <alignment horizontal="center"/>
    </xf>
    <xf numFmtId="0" fontId="11" fillId="6" borderId="22" xfId="0" applyFont="1" applyFill="1" applyBorder="1" applyAlignment="1">
      <alignment horizontal="center"/>
    </xf>
    <xf numFmtId="0" fontId="10" fillId="6" borderId="10" xfId="0" applyFont="1" applyFill="1" applyBorder="1"/>
    <xf numFmtId="0" fontId="10" fillId="6" borderId="11" xfId="0" applyFont="1" applyFill="1" applyBorder="1"/>
    <xf numFmtId="0" fontId="8" fillId="6" borderId="10" xfId="0" applyFont="1" applyFill="1" applyBorder="1"/>
    <xf numFmtId="0" fontId="8" fillId="6" borderId="11" xfId="0" applyFont="1" applyFill="1" applyBorder="1"/>
    <xf numFmtId="0" fontId="10" fillId="6" borderId="6" xfId="0" applyFont="1" applyFill="1" applyBorder="1"/>
    <xf numFmtId="0" fontId="10" fillId="6" borderId="7" xfId="0" applyFont="1" applyFill="1" applyBorder="1"/>
    <xf numFmtId="0" fontId="11" fillId="6" borderId="10" xfId="0" applyFont="1" applyFill="1" applyBorder="1" applyAlignment="1">
      <alignment horizontal="center"/>
    </xf>
    <xf numFmtId="0" fontId="11" fillId="6" borderId="11" xfId="0" applyFont="1" applyFill="1" applyBorder="1" applyAlignment="1">
      <alignment horizontal="center"/>
    </xf>
    <xf numFmtId="0" fontId="10" fillId="6" borderId="27" xfId="0" applyFont="1" applyFill="1" applyBorder="1" applyAlignment="1"/>
    <xf numFmtId="164" fontId="10" fillId="6" borderId="11" xfId="0" applyNumberFormat="1" applyFont="1" applyFill="1" applyBorder="1"/>
    <xf numFmtId="0" fontId="0" fillId="6" borderId="6" xfId="0" applyFill="1" applyBorder="1"/>
    <xf numFmtId="164" fontId="0" fillId="6" borderId="7" xfId="0" applyNumberFormat="1" applyFill="1" applyBorder="1"/>
    <xf numFmtId="0" fontId="0" fillId="6" borderId="10" xfId="0" applyFill="1" applyBorder="1"/>
    <xf numFmtId="164" fontId="0" fillId="6" borderId="16" xfId="0" applyNumberFormat="1" applyFill="1" applyBorder="1"/>
    <xf numFmtId="164" fontId="0" fillId="6" borderId="11" xfId="0" applyNumberFormat="1" applyFill="1" applyBorder="1"/>
    <xf numFmtId="0" fontId="0" fillId="6" borderId="23" xfId="0" applyFill="1" applyBorder="1"/>
    <xf numFmtId="164" fontId="0" fillId="6" borderId="25" xfId="0" applyNumberFormat="1" applyFill="1" applyBorder="1"/>
    <xf numFmtId="0" fontId="5" fillId="0" borderId="0" xfId="0" applyFont="1" applyAlignment="1">
      <alignment horizontal="center" wrapText="1"/>
    </xf>
    <xf numFmtId="0" fontId="16" fillId="0" borderId="0" xfId="0" applyFont="1" applyAlignment="1">
      <alignment horizontal="center"/>
    </xf>
    <xf numFmtId="0" fontId="16" fillId="0" borderId="18" xfId="0" applyFont="1" applyBorder="1" applyAlignment="1">
      <alignment horizontal="center" vertical="center" wrapText="1"/>
    </xf>
    <xf numFmtId="0" fontId="4" fillId="0" borderId="0" xfId="3" applyFont="1" applyFill="1" applyBorder="1" applyAlignment="1">
      <alignment horizontal="right"/>
    </xf>
    <xf numFmtId="164" fontId="4" fillId="0" borderId="0" xfId="3" applyNumberFormat="1" applyFont="1" applyFill="1" applyBorder="1" applyAlignment="1">
      <alignment horizontal="right"/>
    </xf>
    <xf numFmtId="0" fontId="4" fillId="0" borderId="0" xfId="3" applyBorder="1"/>
    <xf numFmtId="0" fontId="0" fillId="0" borderId="0" xfId="0" applyAlignment="1">
      <alignment wrapText="1"/>
    </xf>
    <xf numFmtId="0" fontId="0" fillId="0" borderId="1" xfId="0" applyBorder="1" applyAlignment="1">
      <alignment wrapText="1"/>
    </xf>
    <xf numFmtId="0" fontId="2" fillId="0" borderId="1" xfId="0" applyFont="1" applyBorder="1"/>
    <xf numFmtId="0" fontId="0" fillId="7" borderId="0" xfId="0" applyFill="1"/>
    <xf numFmtId="0" fontId="2" fillId="0" borderId="0" xfId="0" applyFont="1" applyFill="1"/>
    <xf numFmtId="0" fontId="11" fillId="2" borderId="4" xfId="0" applyFont="1" applyFill="1" applyBorder="1"/>
    <xf numFmtId="0" fontId="18" fillId="2" borderId="5" xfId="0" applyFont="1" applyFill="1" applyBorder="1"/>
    <xf numFmtId="0" fontId="10" fillId="2" borderId="10" xfId="0" applyFont="1" applyFill="1" applyBorder="1" applyAlignment="1">
      <alignment horizontal="center"/>
    </xf>
    <xf numFmtId="0" fontId="10" fillId="2" borderId="11" xfId="0" applyFont="1" applyFill="1" applyBorder="1" applyAlignment="1">
      <alignment horizontal="center"/>
    </xf>
    <xf numFmtId="0" fontId="10" fillId="2" borderId="10" xfId="0" applyFont="1" applyFill="1" applyBorder="1"/>
    <xf numFmtId="0" fontId="10" fillId="2" borderId="11" xfId="0" applyFont="1" applyFill="1" applyBorder="1"/>
    <xf numFmtId="0" fontId="8" fillId="2" borderId="10" xfId="0" applyFont="1" applyFill="1" applyBorder="1"/>
    <xf numFmtId="0" fontId="8" fillId="2" borderId="11" xfId="0" applyFont="1" applyFill="1" applyBorder="1"/>
    <xf numFmtId="0" fontId="10" fillId="2" borderId="6" xfId="0" applyFont="1" applyFill="1" applyBorder="1"/>
    <xf numFmtId="0" fontId="10" fillId="2" borderId="7" xfId="0" applyFont="1" applyFill="1" applyBorder="1"/>
    <xf numFmtId="0" fontId="11" fillId="2" borderId="10" xfId="0" applyFont="1" applyFill="1" applyBorder="1" applyAlignment="1">
      <alignment horizontal="center"/>
    </xf>
    <xf numFmtId="0" fontId="11" fillId="2" borderId="11" xfId="0" applyFont="1" applyFill="1" applyBorder="1" applyAlignment="1">
      <alignment horizontal="center"/>
    </xf>
    <xf numFmtId="0" fontId="10" fillId="2" borderId="27" xfId="0" applyFont="1" applyFill="1" applyBorder="1" applyAlignment="1"/>
    <xf numFmtId="164" fontId="10" fillId="2" borderId="11" xfId="0" applyNumberFormat="1" applyFont="1" applyFill="1" applyBorder="1"/>
    <xf numFmtId="0" fontId="0" fillId="2" borderId="6" xfId="0" applyFill="1" applyBorder="1"/>
    <xf numFmtId="164" fontId="0" fillId="2" borderId="7" xfId="0" applyNumberFormat="1" applyFill="1" applyBorder="1"/>
    <xf numFmtId="0" fontId="0" fillId="2" borderId="10" xfId="0" applyFill="1" applyBorder="1"/>
    <xf numFmtId="164" fontId="0" fillId="2" borderId="16" xfId="0" applyNumberFormat="1" applyFill="1" applyBorder="1"/>
    <xf numFmtId="164" fontId="0" fillId="2" borderId="15" xfId="0" applyNumberFormat="1" applyFill="1" applyBorder="1"/>
    <xf numFmtId="164" fontId="0" fillId="2" borderId="11" xfId="0" applyNumberFormat="1" applyFill="1" applyBorder="1"/>
    <xf numFmtId="0" fontId="0" fillId="2" borderId="1" xfId="0" applyFill="1" applyBorder="1"/>
    <xf numFmtId="0" fontId="0" fillId="2" borderId="24" xfId="0" applyFill="1" applyBorder="1"/>
    <xf numFmtId="0" fontId="0" fillId="2" borderId="25" xfId="0" applyFill="1" applyBorder="1"/>
    <xf numFmtId="164" fontId="7" fillId="0" borderId="19" xfId="0" applyNumberFormat="1" applyFont="1" applyBorder="1" applyAlignment="1">
      <alignment horizontal="center"/>
    </xf>
    <xf numFmtId="168" fontId="10" fillId="0" borderId="11" xfId="0" applyNumberFormat="1" applyFont="1" applyFill="1" applyBorder="1" applyAlignment="1"/>
    <xf numFmtId="168" fontId="10" fillId="6" borderId="27" xfId="0" applyNumberFormat="1" applyFont="1" applyFill="1" applyBorder="1" applyAlignment="1"/>
    <xf numFmtId="168" fontId="10" fillId="5" borderId="27" xfId="0" applyNumberFormat="1" applyFont="1" applyFill="1" applyBorder="1" applyAlignment="1"/>
    <xf numFmtId="168" fontId="10" fillId="2" borderId="27" xfId="0" applyNumberFormat="1" applyFont="1" applyFill="1" applyBorder="1" applyAlignment="1"/>
    <xf numFmtId="0" fontId="16" fillId="0" borderId="1" xfId="0" applyFont="1" applyBorder="1" applyAlignment="1">
      <alignment horizontal="center" vertical="center"/>
    </xf>
    <xf numFmtId="167" fontId="10" fillId="0" borderId="1" xfId="4" applyNumberFormat="1" applyFont="1" applyFill="1" applyBorder="1"/>
    <xf numFmtId="0" fontId="11" fillId="0" borderId="1" xfId="0" applyFont="1" applyBorder="1" applyAlignment="1">
      <alignment horizontal="center" vertical="center"/>
    </xf>
    <xf numFmtId="164" fontId="10" fillId="0" borderId="2" xfId="0" applyNumberFormat="1" applyFont="1" applyBorder="1" applyAlignment="1"/>
    <xf numFmtId="0" fontId="2" fillId="0" borderId="1" xfId="0" applyFont="1" applyBorder="1" applyAlignment="1">
      <alignment horizontal="center"/>
    </xf>
    <xf numFmtId="20" fontId="0" fillId="0" borderId="1" xfId="0" applyNumberFormat="1" applyBorder="1"/>
    <xf numFmtId="6" fontId="0" fillId="0" borderId="0" xfId="0" applyNumberFormat="1"/>
    <xf numFmtId="0" fontId="3" fillId="0" borderId="1" xfId="0" applyFont="1" applyFill="1" applyBorder="1" applyAlignment="1">
      <alignment horizontal="right" wrapText="1"/>
    </xf>
    <xf numFmtId="0" fontId="0" fillId="0" borderId="1" xfId="0" applyFill="1" applyBorder="1"/>
    <xf numFmtId="0" fontId="20" fillId="0" borderId="0" xfId="0" applyFont="1"/>
    <xf numFmtId="3" fontId="0" fillId="0" borderId="1" xfId="0" applyNumberFormat="1" applyFont="1" applyBorder="1"/>
    <xf numFmtId="164" fontId="0" fillId="8" borderId="11" xfId="0" applyNumberFormat="1" applyFill="1" applyBorder="1"/>
    <xf numFmtId="0" fontId="0" fillId="8" borderId="11" xfId="0" applyFill="1" applyBorder="1"/>
    <xf numFmtId="8" fontId="0" fillId="0" borderId="0" xfId="0" applyNumberFormat="1"/>
    <xf numFmtId="164" fontId="0" fillId="0" borderId="22" xfId="0" applyNumberFormat="1" applyFill="1" applyBorder="1"/>
    <xf numFmtId="164" fontId="0" fillId="0" borderId="25" xfId="0" applyNumberFormat="1" applyFill="1" applyBorder="1"/>
    <xf numFmtId="9" fontId="0" fillId="0" borderId="1" xfId="0" applyNumberFormat="1" applyBorder="1"/>
    <xf numFmtId="10" fontId="0" fillId="0" borderId="1" xfId="0" applyNumberFormat="1" applyBorder="1"/>
    <xf numFmtId="0" fontId="11" fillId="0" borderId="1" xfId="0" applyFont="1" applyBorder="1" applyAlignment="1">
      <alignment horizontal="center" vertical="center" wrapText="1"/>
    </xf>
    <xf numFmtId="37" fontId="5" fillId="0" borderId="1" xfId="0" applyNumberFormat="1" applyFont="1" applyFill="1" applyBorder="1" applyAlignment="1">
      <alignment horizontal="center" vertical="center" wrapText="1"/>
    </xf>
    <xf numFmtId="0" fontId="0" fillId="0" borderId="0" xfId="0" applyFont="1"/>
    <xf numFmtId="164" fontId="0" fillId="0" borderId="0" xfId="0" applyNumberFormat="1" applyFont="1"/>
    <xf numFmtId="37" fontId="13" fillId="0" borderId="0" xfId="0" applyNumberFormat="1" applyFont="1" applyFill="1" applyBorder="1" applyAlignment="1">
      <alignment horizontal="center" wrapText="1"/>
    </xf>
    <xf numFmtId="167" fontId="4" fillId="0" borderId="0" xfId="4" applyNumberFormat="1" applyFont="1" applyFill="1" applyBorder="1"/>
    <xf numFmtId="167" fontId="4" fillId="0" borderId="0" xfId="4" applyNumberFormat="1" applyFont="1" applyFill="1" applyBorder="1" applyAlignment="1">
      <alignment wrapText="1"/>
    </xf>
    <xf numFmtId="167" fontId="10" fillId="0" borderId="0" xfId="4" applyNumberFormat="1" applyFont="1" applyFill="1" applyBorder="1"/>
    <xf numFmtId="0" fontId="0" fillId="0" borderId="1" xfId="0" applyFont="1" applyFill="1" applyBorder="1"/>
    <xf numFmtId="8" fontId="4" fillId="9" borderId="1" xfId="3" applyNumberFormat="1" applyFill="1" applyBorder="1"/>
    <xf numFmtId="0" fontId="2" fillId="0" borderId="0" xfId="0" applyFont="1" applyBorder="1"/>
    <xf numFmtId="0" fontId="10" fillId="0" borderId="10" xfId="0" applyFont="1" applyBorder="1"/>
    <xf numFmtId="0" fontId="10" fillId="0" borderId="23" xfId="0" applyFont="1" applyBorder="1"/>
    <xf numFmtId="0" fontId="2" fillId="0" borderId="21" xfId="0" applyFont="1" applyBorder="1" applyAlignment="1">
      <alignment horizontal="center"/>
    </xf>
    <xf numFmtId="0" fontId="2" fillId="0" borderId="22" xfId="0" applyFont="1"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168" fontId="10" fillId="0" borderId="10" xfId="0" applyNumberFormat="1" applyFont="1" applyFill="1" applyBorder="1"/>
    <xf numFmtId="168" fontId="10" fillId="6" borderId="10" xfId="0" applyNumberFormat="1" applyFont="1" applyFill="1" applyBorder="1"/>
    <xf numFmtId="168" fontId="10" fillId="4" borderId="10" xfId="0" applyNumberFormat="1" applyFont="1" applyFill="1" applyBorder="1"/>
    <xf numFmtId="168" fontId="10" fillId="2" borderId="10" xfId="0" applyNumberFormat="1" applyFont="1" applyFill="1" applyBorder="1"/>
    <xf numFmtId="164" fontId="0" fillId="0" borderId="20" xfId="0" applyNumberFormat="1" applyBorder="1"/>
    <xf numFmtId="164" fontId="0" fillId="0" borderId="10" xfId="0" applyNumberFormat="1" applyBorder="1"/>
    <xf numFmtId="164" fontId="0" fillId="0" borderId="23" xfId="0" applyNumberFormat="1" applyBorder="1"/>
    <xf numFmtId="0" fontId="10" fillId="0" borderId="20" xfId="0" applyFont="1" applyBorder="1"/>
    <xf numFmtId="0" fontId="0" fillId="10" borderId="0" xfId="0" applyFill="1"/>
    <xf numFmtId="9" fontId="0" fillId="10" borderId="22" xfId="2" applyFont="1" applyFill="1" applyBorder="1"/>
    <xf numFmtId="9" fontId="0" fillId="10" borderId="25" xfId="2" applyFont="1" applyFill="1" applyBorder="1"/>
    <xf numFmtId="9" fontId="0" fillId="10" borderId="11" xfId="2" applyFont="1" applyFill="1" applyBorder="1"/>
    <xf numFmtId="0" fontId="2" fillId="5" borderId="0" xfId="0" applyFont="1" applyFill="1" applyBorder="1"/>
    <xf numFmtId="0" fontId="2" fillId="11" borderId="0" xfId="0" applyFont="1" applyFill="1" applyBorder="1"/>
    <xf numFmtId="0" fontId="2" fillId="3" borderId="0" xfId="0" applyFont="1" applyFill="1" applyBorder="1"/>
    <xf numFmtId="0" fontId="2" fillId="6" borderId="12" xfId="0" applyFont="1" applyFill="1" applyBorder="1"/>
    <xf numFmtId="0" fontId="0" fillId="0" borderId="6" xfId="0" applyBorder="1"/>
    <xf numFmtId="0" fontId="0" fillId="0" borderId="7" xfId="0" applyBorder="1"/>
    <xf numFmtId="0" fontId="0" fillId="0" borderId="7" xfId="0" applyFill="1" applyBorder="1"/>
    <xf numFmtId="0" fontId="0" fillId="0" borderId="8" xfId="0" applyBorder="1"/>
    <xf numFmtId="0" fontId="0" fillId="0" borderId="9" xfId="0" applyBorder="1"/>
    <xf numFmtId="9" fontId="0" fillId="10" borderId="0" xfId="0" applyNumberFormat="1" applyFill="1"/>
    <xf numFmtId="9" fontId="0" fillId="0" borderId="0" xfId="0" applyNumberFormat="1" applyFont="1"/>
    <xf numFmtId="0" fontId="0" fillId="0" borderId="0" xfId="0" applyFont="1" applyBorder="1"/>
    <xf numFmtId="0" fontId="7" fillId="10" borderId="0" xfId="0" applyFont="1" applyFill="1"/>
    <xf numFmtId="0" fontId="10" fillId="10" borderId="10" xfId="0" applyFont="1" applyFill="1" applyBorder="1"/>
    <xf numFmtId="0" fontId="8" fillId="10" borderId="1" xfId="0" applyFont="1" applyFill="1" applyBorder="1"/>
    <xf numFmtId="0" fontId="19" fillId="10" borderId="1" xfId="0" applyFont="1" applyFill="1" applyBorder="1" applyAlignment="1">
      <alignment horizontal="right"/>
    </xf>
    <xf numFmtId="164" fontId="4" fillId="10" borderId="1" xfId="3" applyNumberFormat="1" applyFont="1" applyFill="1" applyBorder="1" applyAlignment="1">
      <alignment horizontal="right"/>
    </xf>
    <xf numFmtId="167" fontId="4" fillId="0" borderId="1" xfId="4" applyNumberFormat="1" applyFont="1" applyFill="1" applyBorder="1" applyAlignment="1">
      <alignment wrapText="1"/>
    </xf>
    <xf numFmtId="0" fontId="2" fillId="6" borderId="8" xfId="0" applyFont="1" applyFill="1" applyBorder="1" applyAlignment="1"/>
    <xf numFmtId="0" fontId="0" fillId="0" borderId="12" xfId="0" applyBorder="1" applyAlignment="1"/>
    <xf numFmtId="0" fontId="2" fillId="0" borderId="4" xfId="0" applyFont="1" applyBorder="1" applyAlignment="1">
      <alignment wrapText="1"/>
    </xf>
    <xf numFmtId="0" fontId="2" fillId="0" borderId="26"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0" xfId="0" applyFont="1" applyBorder="1" applyAlignment="1">
      <alignment wrapText="1"/>
    </xf>
    <xf numFmtId="0" fontId="2" fillId="0" borderId="7" xfId="0" applyFont="1" applyBorder="1" applyAlignment="1">
      <alignment wrapText="1"/>
    </xf>
    <xf numFmtId="0" fontId="10" fillId="0" borderId="4" xfId="0" applyFont="1" applyBorder="1" applyAlignment="1">
      <alignment vertical="top" wrapText="1"/>
    </xf>
    <xf numFmtId="0" fontId="10" fillId="0" borderId="26" xfId="0" applyFont="1" applyBorder="1" applyAlignment="1">
      <alignment vertical="top" wrapText="1"/>
    </xf>
    <xf numFmtId="0" fontId="10" fillId="0" borderId="5" xfId="0" applyFont="1" applyBorder="1" applyAlignment="1">
      <alignment vertical="top" wrapText="1"/>
    </xf>
    <xf numFmtId="0" fontId="10" fillId="0" borderId="6" xfId="0" applyFont="1" applyBorder="1" applyAlignment="1">
      <alignment vertical="top" wrapText="1"/>
    </xf>
    <xf numFmtId="0" fontId="10" fillId="0" borderId="0"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12" xfId="0" applyFont="1" applyBorder="1" applyAlignment="1">
      <alignment vertical="top" wrapText="1"/>
    </xf>
    <xf numFmtId="0" fontId="10" fillId="0" borderId="9" xfId="0" applyFont="1" applyBorder="1" applyAlignment="1">
      <alignment vertical="top" wrapText="1"/>
    </xf>
    <xf numFmtId="0" fontId="2" fillId="11" borderId="12" xfId="0" applyFont="1" applyFill="1" applyBorder="1" applyAlignment="1"/>
    <xf numFmtId="0" fontId="2" fillId="11" borderId="9" xfId="0" applyFont="1" applyFill="1" applyBorder="1" applyAlignment="1"/>
    <xf numFmtId="0" fontId="2" fillId="5" borderId="8" xfId="0" applyFont="1" applyFill="1" applyBorder="1" applyAlignment="1"/>
    <xf numFmtId="0" fontId="2" fillId="5" borderId="12" xfId="0" applyFont="1" applyFill="1" applyBorder="1" applyAlignment="1"/>
    <xf numFmtId="0" fontId="2" fillId="3" borderId="12" xfId="0" applyFont="1" applyFill="1" applyBorder="1" applyAlignment="1"/>
    <xf numFmtId="0" fontId="2" fillId="3" borderId="9" xfId="0" applyFont="1" applyFill="1" applyBorder="1" applyAlignment="1"/>
    <xf numFmtId="0" fontId="1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1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8" xfId="0"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8" fillId="6" borderId="18" xfId="0" applyFont="1" applyFill="1" applyBorder="1" applyAlignment="1">
      <alignment horizontal="center"/>
    </xf>
    <xf numFmtId="0" fontId="18" fillId="6" borderId="19" xfId="0" applyFont="1" applyFill="1" applyBorder="1" applyAlignment="1">
      <alignment horizontal="center"/>
    </xf>
    <xf numFmtId="0" fontId="0" fillId="0" borderId="0" xfId="0" applyAlignment="1">
      <alignment vertical="top" wrapText="1"/>
    </xf>
    <xf numFmtId="0" fontId="12" fillId="0" borderId="13" xfId="3"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cellXfs>
  <cellStyles count="5">
    <cellStyle name="Currency" xfId="1" builtinId="4"/>
    <cellStyle name="Currency 2" xfId="4"/>
    <cellStyle name="Normal" xfId="0" builtinId="0"/>
    <cellStyle name="Normal 2" xfId="3"/>
    <cellStyle name="Percent" xfId="2" builtinId="5"/>
  </cellStyles>
  <dxfs count="0"/>
  <tableStyles count="0" defaultTableStyle="TableStyleMedium2" defaultPivotStyle="PivotStyleLight16"/>
  <colors>
    <mruColors>
      <color rgb="FF78008C"/>
      <color rgb="FF800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auna.ejeh\AppData\Local\Microsoft\Windows\Temporary%20Internet%20Files\Content.Outlook\EN26F9P1\Center%20Operational%20Budget%20template%201.3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hauna.ejeh\AppData\Local\Microsoft\Windows\Temporary%20Internet%20Files\Content.Outlook\EN26F9P1\Cost%20model%20updated%20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Wide"/>
      <sheetName val="FIRST"/>
      <sheetName val="Revenue Sources"/>
      <sheetName val="Site 1"/>
      <sheetName val="Site 2"/>
      <sheetName val="Site 3"/>
      <sheetName val="Site 4"/>
      <sheetName val="LAS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Data Points"/>
      <sheetName val="Implementation cost all 4YO"/>
      <sheetName val="Implementation cost (&lt;200%FPL)"/>
      <sheetName val="Classroom &amp; kids data"/>
      <sheetName val="Points of Issue"/>
      <sheetName val="CBO model"/>
      <sheetName val="Per Classroom Analysis"/>
      <sheetName val="CBO model reduced"/>
      <sheetName val="Reduced model Analysis"/>
      <sheetName val="No Infants-Toddlers model"/>
      <sheetName val="No Infants-Toddlers Analysis"/>
      <sheetName val="CPS model"/>
      <sheetName val="Central Citywide Staff"/>
      <sheetName val="CBO vs. CPS classroom expenses"/>
      <sheetName val="System Cost by Option"/>
      <sheetName val="Sheet1"/>
    </sheetNames>
    <sheetDataSet>
      <sheetData sheetId="0"/>
      <sheetData sheetId="1">
        <row r="66">
          <cell r="B66">
            <v>0</v>
          </cell>
        </row>
        <row r="67">
          <cell r="B67">
            <v>50</v>
          </cell>
        </row>
        <row r="68">
          <cell r="B68">
            <v>225</v>
          </cell>
        </row>
        <row r="69">
          <cell r="B69">
            <v>48.661358521792657</v>
          </cell>
        </row>
        <row r="70">
          <cell r="B70">
            <v>44.526802543514115</v>
          </cell>
        </row>
        <row r="71">
          <cell r="B71">
            <v>22</v>
          </cell>
        </row>
        <row r="72">
          <cell r="B72">
            <v>75</v>
          </cell>
        </row>
        <row r="73">
          <cell r="B73">
            <v>21.832498539531326</v>
          </cell>
        </row>
        <row r="74">
          <cell r="B74">
            <v>18.532114052231517</v>
          </cell>
        </row>
        <row r="75">
          <cell r="B75">
            <v>250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workbookViewId="0">
      <selection activeCell="A9" sqref="A9"/>
    </sheetView>
  </sheetViews>
  <sheetFormatPr defaultColWidth="11" defaultRowHeight="15.75" x14ac:dyDescent="0.25"/>
  <cols>
    <col min="1" max="1" width="38.625" customWidth="1"/>
    <col min="2" max="2" width="36.375" customWidth="1"/>
    <col min="4" max="4" width="17.125" customWidth="1"/>
    <col min="5" max="5" width="14.125" customWidth="1"/>
    <col min="6" max="6" width="14.5" customWidth="1"/>
    <col min="7" max="7" width="4.625" customWidth="1"/>
    <col min="8" max="8" width="17.5" customWidth="1"/>
    <col min="9" max="9" width="14.875" customWidth="1"/>
    <col min="10" max="10" width="13.875" customWidth="1"/>
  </cols>
  <sheetData>
    <row r="1" spans="1:10" ht="15.95" customHeight="1" x14ac:dyDescent="0.25">
      <c r="A1" s="311" t="s">
        <v>240</v>
      </c>
      <c r="B1" s="312"/>
      <c r="C1" s="312"/>
      <c r="D1" s="313"/>
    </row>
    <row r="2" spans="1:10" x14ac:dyDescent="0.25">
      <c r="A2" s="314"/>
      <c r="B2" s="315"/>
      <c r="C2" s="315"/>
      <c r="D2" s="316"/>
    </row>
    <row r="3" spans="1:10" x14ac:dyDescent="0.25">
      <c r="A3" s="314"/>
      <c r="B3" s="315"/>
      <c r="C3" s="315"/>
      <c r="D3" s="316"/>
    </row>
    <row r="4" spans="1:10" x14ac:dyDescent="0.25">
      <c r="A4" s="314"/>
      <c r="B4" s="315"/>
      <c r="C4" s="315"/>
      <c r="D4" s="316"/>
    </row>
    <row r="5" spans="1:10" x14ac:dyDescent="0.25">
      <c r="A5" s="314"/>
      <c r="B5" s="315"/>
      <c r="C5" s="315"/>
      <c r="D5" s="316"/>
    </row>
    <row r="6" spans="1:10" x14ac:dyDescent="0.25">
      <c r="A6" s="314"/>
      <c r="B6" s="315"/>
      <c r="C6" s="315"/>
      <c r="D6" s="316"/>
    </row>
    <row r="7" spans="1:10" x14ac:dyDescent="0.25">
      <c r="A7" s="314"/>
      <c r="B7" s="315"/>
      <c r="C7" s="315"/>
      <c r="D7" s="316"/>
    </row>
    <row r="8" spans="1:10" ht="57.95" customHeight="1" thickBot="1" x14ac:dyDescent="0.3">
      <c r="A8" s="317"/>
      <c r="B8" s="318"/>
      <c r="C8" s="318"/>
      <c r="D8" s="319"/>
    </row>
    <row r="9" spans="1:10" ht="21" customHeight="1" x14ac:dyDescent="0.25">
      <c r="A9" s="203"/>
      <c r="B9" s="203"/>
      <c r="C9" s="203"/>
      <c r="D9" s="203"/>
    </row>
    <row r="10" spans="1:10" ht="24.95" customHeight="1" x14ac:dyDescent="0.25">
      <c r="A10" s="207" t="s">
        <v>108</v>
      </c>
      <c r="B10" s="206" t="s">
        <v>177</v>
      </c>
    </row>
    <row r="11" spans="1:10" ht="27.95" customHeight="1" x14ac:dyDescent="0.25">
      <c r="A11" s="207" t="s">
        <v>109</v>
      </c>
      <c r="B11" s="206" t="s">
        <v>179</v>
      </c>
    </row>
    <row r="12" spans="1:10" ht="18" customHeight="1" thickBot="1" x14ac:dyDescent="0.3">
      <c r="A12" s="207"/>
      <c r="B12" s="5"/>
    </row>
    <row r="13" spans="1:10" ht="18" customHeight="1" x14ac:dyDescent="0.25">
      <c r="B13" s="264" t="s">
        <v>206</v>
      </c>
      <c r="D13" s="305" t="s">
        <v>218</v>
      </c>
      <c r="E13" s="306"/>
      <c r="F13" s="306"/>
      <c r="G13" s="306"/>
      <c r="H13" s="306"/>
      <c r="I13" s="306"/>
      <c r="J13" s="307"/>
    </row>
    <row r="14" spans="1:10" ht="18" customHeight="1" x14ac:dyDescent="0.25">
      <c r="A14" s="207" t="s">
        <v>205</v>
      </c>
      <c r="B14" s="281">
        <v>224</v>
      </c>
      <c r="D14" s="308"/>
      <c r="E14" s="309"/>
      <c r="F14" s="309"/>
      <c r="G14" s="309"/>
      <c r="H14" s="309"/>
      <c r="I14" s="309"/>
      <c r="J14" s="310"/>
    </row>
    <row r="15" spans="1:10" ht="18" customHeight="1" x14ac:dyDescent="0.25">
      <c r="A15" s="207"/>
      <c r="B15" s="5"/>
      <c r="D15" s="289"/>
      <c r="E15" s="64"/>
      <c r="F15" s="64"/>
      <c r="G15" s="64"/>
      <c r="H15" s="64"/>
      <c r="I15" s="64"/>
      <c r="J15" s="290"/>
    </row>
    <row r="16" spans="1:10" ht="18" customHeight="1" thickBot="1" x14ac:dyDescent="0.3">
      <c r="A16" s="285" t="s">
        <v>210</v>
      </c>
      <c r="B16" s="264" t="s">
        <v>97</v>
      </c>
      <c r="D16" s="322" t="s">
        <v>215</v>
      </c>
      <c r="E16" s="323"/>
      <c r="F16" s="323"/>
      <c r="G16" s="64"/>
      <c r="H16" s="320" t="s">
        <v>216</v>
      </c>
      <c r="I16" s="320"/>
      <c r="J16" s="321"/>
    </row>
    <row r="17" spans="1:10" ht="18" customHeight="1" x14ac:dyDescent="0.25">
      <c r="A17" s="93" t="s">
        <v>211</v>
      </c>
      <c r="B17" s="282">
        <v>0</v>
      </c>
      <c r="D17" s="93"/>
      <c r="E17" s="267" t="s">
        <v>194</v>
      </c>
      <c r="F17" s="268" t="s">
        <v>195</v>
      </c>
      <c r="G17" s="64"/>
      <c r="H17" s="93"/>
      <c r="I17" s="267" t="s">
        <v>194</v>
      </c>
      <c r="J17" s="268" t="s">
        <v>195</v>
      </c>
    </row>
    <row r="18" spans="1:10" ht="18" customHeight="1" thickBot="1" x14ac:dyDescent="0.3">
      <c r="A18" s="94" t="s">
        <v>212</v>
      </c>
      <c r="B18" s="283">
        <v>0</v>
      </c>
      <c r="D18" s="265" t="s">
        <v>49</v>
      </c>
      <c r="E18" s="269">
        <f>ROUNDUP(B17*'MULTI-SITE BUDGET'!K34,0)</f>
        <v>0</v>
      </c>
      <c r="F18" s="270">
        <f>ROUNDUP(B17*'SINGLE SITE BUDGET'!D5,0)</f>
        <v>0</v>
      </c>
      <c r="G18" s="64"/>
      <c r="H18" s="265" t="s">
        <v>49</v>
      </c>
      <c r="I18" s="269">
        <f>ROUNDUP(B21*'MULTI-SITE BUDGET'!K34,0)</f>
        <v>0</v>
      </c>
      <c r="J18" s="270">
        <f>ROUNDUP(B21*'SINGLE SITE BUDGET'!D5,0)</f>
        <v>0</v>
      </c>
    </row>
    <row r="19" spans="1:10" ht="18" customHeight="1" x14ac:dyDescent="0.25">
      <c r="D19" s="265" t="s">
        <v>50</v>
      </c>
      <c r="E19" s="269">
        <f>ROUNDUP(B17*'MULTI-SITE BUDGET'!K35,0)</f>
        <v>0</v>
      </c>
      <c r="F19" s="270">
        <f>ROUNDUP(B17*'SINGLE SITE BUDGET'!D6,0)</f>
        <v>0</v>
      </c>
      <c r="G19" s="64"/>
      <c r="H19" s="265" t="s">
        <v>50</v>
      </c>
      <c r="I19" s="269">
        <f>ROUNDUP(B21*'MULTI-SITE BUDGET'!K35,0)</f>
        <v>0</v>
      </c>
      <c r="J19" s="270">
        <f>ROUNDUP(B21*'SINGLE SITE BUDGET'!D6,0)</f>
        <v>0</v>
      </c>
    </row>
    <row r="20" spans="1:10" ht="18" customHeight="1" thickBot="1" x14ac:dyDescent="0.3">
      <c r="A20" s="286" t="s">
        <v>207</v>
      </c>
      <c r="B20" s="264" t="s">
        <v>97</v>
      </c>
      <c r="D20" s="265" t="s">
        <v>51</v>
      </c>
      <c r="E20" s="269">
        <f>ROUNDUP(B17*'MULTI-SITE BUDGET'!K36,0)</f>
        <v>0</v>
      </c>
      <c r="F20" s="270">
        <f>ROUNDUP(B17*'SINGLE SITE BUDGET'!D7,0)</f>
        <v>0</v>
      </c>
      <c r="G20" s="64"/>
      <c r="H20" s="265" t="s">
        <v>51</v>
      </c>
      <c r="I20" s="269">
        <f>ROUNDUP(B21*'MULTI-SITE BUDGET'!K36,)</f>
        <v>0</v>
      </c>
      <c r="J20" s="270">
        <f>ROUNDUP(B21*'SINGLE SITE BUDGET'!D7,0)</f>
        <v>0</v>
      </c>
    </row>
    <row r="21" spans="1:10" ht="18" customHeight="1" x14ac:dyDescent="0.25">
      <c r="A21" s="93" t="s">
        <v>208</v>
      </c>
      <c r="B21" s="282">
        <v>0</v>
      </c>
      <c r="D21" s="265" t="s">
        <v>54</v>
      </c>
      <c r="E21" s="269">
        <f>ROUNDUP(B18*'MULTI-SITE BUDGET'!K37,0)</f>
        <v>0</v>
      </c>
      <c r="F21" s="270">
        <f>ROUNDUP(B18*'SINGLE SITE BUDGET'!D8,0)</f>
        <v>0</v>
      </c>
      <c r="G21" s="64"/>
      <c r="H21" s="265" t="s">
        <v>54</v>
      </c>
      <c r="I21" s="269">
        <f>ROUNDUP(B22*'MULTI-SITE BUDGET'!K37,0)</f>
        <v>0</v>
      </c>
      <c r="J21" s="270">
        <f>ROUNDUP(B22*'SINGLE SITE BUDGET'!D8,0)</f>
        <v>0</v>
      </c>
    </row>
    <row r="22" spans="1:10" ht="26.1" customHeight="1" thickBot="1" x14ac:dyDescent="0.3">
      <c r="A22" s="94" t="s">
        <v>209</v>
      </c>
      <c r="B22" s="283">
        <v>0</v>
      </c>
      <c r="D22" s="266" t="s">
        <v>53</v>
      </c>
      <c r="E22" s="271">
        <f>ROUNDUP(B18*'MULTI-SITE BUDGET'!K38,0)</f>
        <v>0</v>
      </c>
      <c r="F22" s="272">
        <f>ROUNDUP(B18*'SINGLE SITE BUDGET'!D9,0)</f>
        <v>0</v>
      </c>
      <c r="G22" s="64"/>
      <c r="H22" s="266" t="s">
        <v>53</v>
      </c>
      <c r="I22" s="271">
        <f>ROUNDUP(B22*'MULTI-SITE BUDGET'!K38,0)</f>
        <v>0</v>
      </c>
      <c r="J22" s="272">
        <f>ROUNDUP(B22*'SINGLE SITE BUDGET'!D9,0)</f>
        <v>0</v>
      </c>
    </row>
    <row r="23" spans="1:10" s="5" customFormat="1" ht="18" customHeight="1" x14ac:dyDescent="0.25">
      <c r="A23" s="70"/>
      <c r="B23" s="65"/>
      <c r="D23" s="126"/>
      <c r="E23" s="70"/>
      <c r="F23" s="70"/>
      <c r="G23" s="70"/>
      <c r="H23" s="70"/>
      <c r="I23" s="70"/>
      <c r="J23" s="291"/>
    </row>
    <row r="24" spans="1:10" ht="26.1" customHeight="1" thickBot="1" x14ac:dyDescent="0.3">
      <c r="A24" s="287" t="s">
        <v>213</v>
      </c>
      <c r="B24" s="264" t="s">
        <v>97</v>
      </c>
      <c r="D24" s="303" t="s">
        <v>203</v>
      </c>
      <c r="E24" s="304"/>
      <c r="F24" s="304"/>
      <c r="G24" s="64"/>
      <c r="H24" s="324" t="s">
        <v>217</v>
      </c>
      <c r="I24" s="324"/>
      <c r="J24" s="325"/>
    </row>
    <row r="25" spans="1:10" ht="17.100000000000001" customHeight="1" x14ac:dyDescent="0.25">
      <c r="A25" s="93" t="s">
        <v>214</v>
      </c>
      <c r="B25" s="282">
        <v>0</v>
      </c>
      <c r="D25" s="93"/>
      <c r="E25" s="267" t="s">
        <v>194</v>
      </c>
      <c r="F25" s="268" t="s">
        <v>195</v>
      </c>
      <c r="G25" s="64"/>
      <c r="H25" s="93"/>
      <c r="I25" s="267" t="s">
        <v>194</v>
      </c>
      <c r="J25" s="268" t="s">
        <v>195</v>
      </c>
    </row>
    <row r="26" spans="1:10" x14ac:dyDescent="0.25">
      <c r="D26" s="265" t="s">
        <v>49</v>
      </c>
      <c r="E26" s="269">
        <f>ROUNDUP($B$28*'MULTI-SITE BUDGET'!K34,0)</f>
        <v>0</v>
      </c>
      <c r="F26" s="270">
        <f>ROUNDUP($B$28*'SINGLE SITE BUDGET'!D5,0)</f>
        <v>0</v>
      </c>
      <c r="G26" s="64"/>
      <c r="H26" s="265" t="s">
        <v>49</v>
      </c>
      <c r="I26" s="269">
        <f>ROUNDUP(B25*'MULTI-SITE BUDGET'!K34,0)</f>
        <v>0</v>
      </c>
      <c r="J26" s="270">
        <f>ROUNDUP(B25*'SINGLE SITE BUDGET'!D5,0)</f>
        <v>0</v>
      </c>
    </row>
    <row r="27" spans="1:10" ht="16.5" thickBot="1" x14ac:dyDescent="0.3">
      <c r="A27" s="288" t="s">
        <v>110</v>
      </c>
      <c r="B27" s="95" t="s">
        <v>97</v>
      </c>
      <c r="D27" s="265" t="s">
        <v>50</v>
      </c>
      <c r="E27" s="269">
        <f>ROUNDUP($B$28*'MULTI-SITE BUDGET'!K35,0)</f>
        <v>0</v>
      </c>
      <c r="F27" s="270">
        <f>ROUNDUP($B$28*'SINGLE SITE BUDGET'!D6,0)</f>
        <v>0</v>
      </c>
      <c r="G27" s="64"/>
      <c r="H27" s="265" t="s">
        <v>50</v>
      </c>
      <c r="I27" s="269">
        <f>ROUNDUP(B25*'MULTI-SITE BUDGET'!K35,0)</f>
        <v>0</v>
      </c>
      <c r="J27" s="270">
        <f>ROUNDUP(B25*'SINGLE SITE BUDGET'!D6,0)</f>
        <v>0</v>
      </c>
    </row>
    <row r="28" spans="1:10" x14ac:dyDescent="0.25">
      <c r="A28" s="93" t="s">
        <v>59</v>
      </c>
      <c r="B28" s="282">
        <v>0</v>
      </c>
      <c r="D28" s="265" t="s">
        <v>51</v>
      </c>
      <c r="E28" s="269">
        <f>ROUNDUP($B$28*'MULTI-SITE BUDGET'!K36,0)</f>
        <v>0</v>
      </c>
      <c r="F28" s="270">
        <f>ROUNDUP($B$28*'SINGLE SITE BUDGET'!D7,0)</f>
        <v>0</v>
      </c>
      <c r="G28" s="64"/>
      <c r="H28" s="265" t="s">
        <v>51</v>
      </c>
      <c r="I28" s="269">
        <f>ROUNDUP(B25*'MULTI-SITE BUDGET'!K36,0)</f>
        <v>0</v>
      </c>
      <c r="J28" s="270">
        <f>ROUNDUP(B25*'SINGLE SITE BUDGET'!D7,0)</f>
        <v>0</v>
      </c>
    </row>
    <row r="29" spans="1:10" ht="16.5" thickBot="1" x14ac:dyDescent="0.3">
      <c r="A29" s="94" t="s">
        <v>60</v>
      </c>
      <c r="B29" s="283">
        <v>0</v>
      </c>
      <c r="D29" s="265" t="s">
        <v>54</v>
      </c>
      <c r="E29" s="269">
        <f>ROUNDUP($B$29*'MULTI-SITE BUDGET'!K37,0)</f>
        <v>0</v>
      </c>
      <c r="F29" s="270">
        <f>ROUNDUP($B$29*'SINGLE SITE BUDGET'!D8,0)</f>
        <v>0</v>
      </c>
      <c r="G29" s="64"/>
      <c r="H29" s="64"/>
      <c r="I29" s="64"/>
      <c r="J29" s="290"/>
    </row>
    <row r="30" spans="1:10" ht="16.5" thickBot="1" x14ac:dyDescent="0.3">
      <c r="D30" s="266" t="s">
        <v>53</v>
      </c>
      <c r="E30" s="271">
        <f>ROUNDUP($B$29*'MULTI-SITE BUDGET'!K38,0)</f>
        <v>0</v>
      </c>
      <c r="F30" s="272">
        <f>ROUNDUP($B$29*'SINGLE SITE BUDGET'!D9,0)</f>
        <v>0</v>
      </c>
      <c r="G30" s="64"/>
      <c r="H30" s="64"/>
      <c r="I30" s="64"/>
      <c r="J30" s="290"/>
    </row>
    <row r="31" spans="1:10" ht="16.5" thickBot="1" x14ac:dyDescent="0.3">
      <c r="A31" s="92" t="s">
        <v>98</v>
      </c>
      <c r="B31" s="57" t="s">
        <v>97</v>
      </c>
      <c r="D31" s="292"/>
      <c r="E31" s="71"/>
      <c r="F31" s="71"/>
      <c r="G31" s="71"/>
      <c r="H31" s="71"/>
      <c r="I31" s="71"/>
      <c r="J31" s="293"/>
    </row>
    <row r="32" spans="1:10" x14ac:dyDescent="0.25">
      <c r="A32" s="93" t="s">
        <v>61</v>
      </c>
      <c r="B32" s="282">
        <v>0</v>
      </c>
    </row>
    <row r="33" spans="1:7" ht="16.5" thickBot="1" x14ac:dyDescent="0.3">
      <c r="A33" s="94" t="s">
        <v>62</v>
      </c>
      <c r="B33" s="283">
        <v>0</v>
      </c>
    </row>
    <row r="34" spans="1:7" x14ac:dyDescent="0.25">
      <c r="A34" s="64"/>
      <c r="B34" s="65"/>
    </row>
    <row r="35" spans="1:7" ht="16.5" thickBot="1" x14ac:dyDescent="0.3">
      <c r="A35" s="92" t="s">
        <v>202</v>
      </c>
      <c r="B35" s="57" t="s">
        <v>97</v>
      </c>
    </row>
    <row r="36" spans="1:7" x14ac:dyDescent="0.25">
      <c r="A36" s="277" t="s">
        <v>169</v>
      </c>
      <c r="B36" s="282">
        <v>0</v>
      </c>
    </row>
    <row r="37" spans="1:7" x14ac:dyDescent="0.25">
      <c r="A37" s="278" t="s">
        <v>170</v>
      </c>
      <c r="B37" s="284">
        <v>0</v>
      </c>
    </row>
    <row r="38" spans="1:7" ht="16.5" thickBot="1" x14ac:dyDescent="0.3">
      <c r="A38" s="279" t="s">
        <v>196</v>
      </c>
      <c r="B38" s="283">
        <v>0</v>
      </c>
    </row>
    <row r="40" spans="1:7" ht="18.75" thickBot="1" x14ac:dyDescent="0.3">
      <c r="A40" s="198"/>
    </row>
    <row r="41" spans="1:7" ht="36.75" thickBot="1" x14ac:dyDescent="0.35">
      <c r="A41" s="199" t="s">
        <v>153</v>
      </c>
      <c r="B41" s="231">
        <f>'SINGLE SITE BUDGET'!D122</f>
        <v>-393380</v>
      </c>
      <c r="E41" s="242"/>
      <c r="G41" s="242"/>
    </row>
    <row r="44" spans="1:7" ht="16.5" thickBot="1" x14ac:dyDescent="0.3"/>
    <row r="45" spans="1:7" ht="36.75" thickBot="1" x14ac:dyDescent="0.35">
      <c r="A45" s="199" t="s">
        <v>152</v>
      </c>
      <c r="B45" s="231">
        <f>'MULTI-SITE BUDGET'!D150</f>
        <v>-253770</v>
      </c>
      <c r="E45" s="109"/>
    </row>
  </sheetData>
  <scenarios current="1" sqref="B26 B31">
    <scenario name="Group IA_PI/PFA" locked="1" count="3" user="Kate Ritter" comment="Created by Kate Ritter on 3/19/2019_x000a_Modified by Kate Ritter on 3/20/2019">
      <inputCells r="B10" val="UPSTATE PI/PFA SALARY SCALE"/>
      <inputCells r="B11" val="UPSTATE PI/PFA FRINGE"/>
      <inputCells r="B12" undone="1" val="PFA/PI STAFFING"/>
    </scenario>
    <scenario name="Group 2_PI/PFA" locked="1" count="3" user="Kate Ritter" comment="Created by Kate Ritter on 3/20/2019_x000a_Modified by Kate Ritter on 3/20/2019">
      <inputCells r="B10" val="DOWNSTATE PI/PFA SALARY SCALE"/>
      <inputCells r="B11" val="DOWNSTATE PI/PFA FRINGE"/>
      <inputCells r="B12" undone="1" val="PFA/PI STAFFING"/>
    </scenario>
  </scenarios>
  <mergeCells count="6">
    <mergeCell ref="D24:F24"/>
    <mergeCell ref="D13:J14"/>
    <mergeCell ref="A1:D8"/>
    <mergeCell ref="H16:J16"/>
    <mergeCell ref="D16:F16"/>
    <mergeCell ref="H24:J24"/>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'Salaries &amp; Staffing Patterns'!$B$30:$D$30</xm:f>
          </x14:formula1>
          <xm:sqref>B11</xm:sqref>
        </x14:dataValidation>
        <x14:dataValidation type="list" allowBlank="1" showInputMessage="1" showErrorMessage="1">
          <x14:formula1>
            <xm:f>'Salaries &amp; Staffing Patterns'!$B$1:$D$1</xm:f>
          </x14:formula1>
          <xm:sqref>B10</xm:sqref>
        </x14:dataValidation>
        <x14:dataValidation type="list" allowBlank="1" showInputMessage="1" showErrorMessage="1">
          <x14:formula1>
            <xm:f>'Salaries &amp; Staffing Patterns'!$B$36:$C$36</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topLeftCell="A75" zoomScaleNormal="100" workbookViewId="0">
      <selection activeCell="C5" sqref="C5:C9"/>
    </sheetView>
  </sheetViews>
  <sheetFormatPr defaultColWidth="11" defaultRowHeight="15.75" x14ac:dyDescent="0.25"/>
  <cols>
    <col min="1" max="1" width="38.5" customWidth="1"/>
    <col min="2" max="2" width="24.375" customWidth="1"/>
    <col min="3" max="3" width="18.125" customWidth="1"/>
    <col min="4" max="4" width="22.125" customWidth="1"/>
    <col min="6" max="6" width="9.875" customWidth="1"/>
    <col min="7" max="7" width="11.625" customWidth="1"/>
  </cols>
  <sheetData>
    <row r="1" spans="1:7" ht="23.25" x14ac:dyDescent="0.35">
      <c r="A1" s="53" t="s">
        <v>138</v>
      </c>
      <c r="C1" s="3"/>
    </row>
    <row r="2" spans="1:7" ht="23.25" x14ac:dyDescent="0.35">
      <c r="A2" s="53"/>
      <c r="C2" s="297" t="s">
        <v>204</v>
      </c>
    </row>
    <row r="3" spans="1:7" ht="16.5" thickBot="1" x14ac:dyDescent="0.3"/>
    <row r="4" spans="1:7" ht="18" x14ac:dyDescent="0.25">
      <c r="A4" s="54" t="s">
        <v>52</v>
      </c>
      <c r="B4" s="6"/>
      <c r="C4" s="110" t="s">
        <v>48</v>
      </c>
      <c r="D4" s="111" t="s">
        <v>47</v>
      </c>
    </row>
    <row r="5" spans="1:7" x14ac:dyDescent="0.25">
      <c r="A5" s="8"/>
      <c r="B5" s="10" t="s">
        <v>49</v>
      </c>
      <c r="C5" s="298"/>
      <c r="D5" s="113">
        <f>C5*8</f>
        <v>0</v>
      </c>
    </row>
    <row r="6" spans="1:7" x14ac:dyDescent="0.25">
      <c r="A6" s="8"/>
      <c r="B6" s="10" t="s">
        <v>50</v>
      </c>
      <c r="C6" s="298"/>
      <c r="D6" s="113">
        <f>C6*8</f>
        <v>0</v>
      </c>
    </row>
    <row r="7" spans="1:7" x14ac:dyDescent="0.25">
      <c r="A7" s="8"/>
      <c r="B7" s="10" t="s">
        <v>51</v>
      </c>
      <c r="C7" s="298"/>
      <c r="D7" s="113">
        <f>C7*8</f>
        <v>0</v>
      </c>
    </row>
    <row r="8" spans="1:7" x14ac:dyDescent="0.25">
      <c r="A8" s="8"/>
      <c r="B8" s="10" t="s">
        <v>54</v>
      </c>
      <c r="C8" s="298"/>
      <c r="D8" s="113">
        <f>C8*17</f>
        <v>0</v>
      </c>
    </row>
    <row r="9" spans="1:7" x14ac:dyDescent="0.25">
      <c r="A9" s="8"/>
      <c r="B9" s="10" t="s">
        <v>53</v>
      </c>
      <c r="C9" s="298"/>
      <c r="D9" s="113">
        <f>C9*17</f>
        <v>0</v>
      </c>
    </row>
    <row r="10" spans="1:7" ht="18.75" x14ac:dyDescent="0.3">
      <c r="A10" s="3"/>
      <c r="B10" s="9"/>
      <c r="C10" s="114">
        <f>SUM(C5:C9)</f>
        <v>0</v>
      </c>
      <c r="D10" s="115">
        <f t="shared" ref="D10" si="0">SUM(D5:D9)</f>
        <v>0</v>
      </c>
      <c r="F10" s="57"/>
      <c r="G10" s="57"/>
    </row>
    <row r="11" spans="1:7" ht="18" x14ac:dyDescent="0.25">
      <c r="A11" s="54" t="s">
        <v>12</v>
      </c>
      <c r="B11" s="6"/>
      <c r="C11" s="116"/>
      <c r="D11" s="117"/>
    </row>
    <row r="12" spans="1:7" x14ac:dyDescent="0.25">
      <c r="A12" s="45" t="s">
        <v>0</v>
      </c>
      <c r="B12" s="51" t="s">
        <v>30</v>
      </c>
      <c r="C12" s="118" t="s">
        <v>29</v>
      </c>
      <c r="D12" s="119" t="s">
        <v>55</v>
      </c>
    </row>
    <row r="13" spans="1:7" x14ac:dyDescent="0.25">
      <c r="A13" s="46" t="s">
        <v>172</v>
      </c>
      <c r="B13" s="239">
        <f>IF(Variables!$B$10='Salaries &amp; Staffing Patterns'!$B$1,'Salaries &amp; Staffing Patterns'!B2,IF(Variables!$B$10='Salaries &amp; Staffing Patterns'!$C$1,'Salaries &amp; Staffing Patterns'!C2,IF(Variables!$B$10='Salaries &amp; Staffing Patterns'!$D$1,'Salaries &amp; Staffing Patterns'!D2,0)))</f>
        <v>80000</v>
      </c>
      <c r="C13" s="120">
        <v>1</v>
      </c>
      <c r="D13" s="121">
        <f>B13*C13</f>
        <v>80000</v>
      </c>
    </row>
    <row r="14" spans="1:7" x14ac:dyDescent="0.25">
      <c r="A14" s="46" t="s">
        <v>14</v>
      </c>
      <c r="B14" s="239">
        <f>IF(Variables!$B$10='Salaries &amp; Staffing Patterns'!$B$1,'Salaries &amp; Staffing Patterns'!B3,IF(Variables!$B$10='Salaries &amp; Staffing Patterns'!$C$1,'Salaries &amp; Staffing Patterns'!C3,IF(Variables!$B$10='Salaries &amp; Staffing Patterns'!$D$1,'Salaries &amp; Staffing Patterns'!D3,0)))</f>
        <v>55000</v>
      </c>
      <c r="C14" s="120">
        <v>1</v>
      </c>
      <c r="D14" s="121">
        <f t="shared" ref="D14:D27" si="1">B14*C14</f>
        <v>55000</v>
      </c>
    </row>
    <row r="15" spans="1:7" x14ac:dyDescent="0.25">
      <c r="A15" s="46" t="s">
        <v>191</v>
      </c>
      <c r="B15" s="239">
        <f>IF(Variables!$B$10='Salaries &amp; Staffing Patterns'!$B$1,'Salaries &amp; Staffing Patterns'!B4,IF(Variables!$B$10='Salaries &amp; Staffing Patterns'!$C$1,'Salaries &amp; Staffing Patterns'!C4,IF(Variables!$B$10='Salaries &amp; Staffing Patterns'!$D$1,'Salaries &amp; Staffing Patterns'!D4,0)))</f>
        <v>47000</v>
      </c>
      <c r="C15" s="120">
        <f>C8+C9</f>
        <v>0</v>
      </c>
      <c r="D15" s="121">
        <f t="shared" si="1"/>
        <v>0</v>
      </c>
    </row>
    <row r="16" spans="1:7" x14ac:dyDescent="0.25">
      <c r="A16" s="47" t="s">
        <v>192</v>
      </c>
      <c r="B16" s="239">
        <f>IF(Variables!$B$10='Salaries &amp; Staffing Patterns'!$B$1,'Salaries &amp; Staffing Patterns'!B5,IF(Variables!$B$10='Salaries &amp; Staffing Patterns'!$C$1,'Salaries &amp; Staffing Patterns'!C5,IF(Variables!$B$10='Salaries &amp; Staffing Patterns'!$D$1,'Salaries &amp; Staffing Patterns'!D5,0)))</f>
        <v>42000</v>
      </c>
      <c r="C16" s="120">
        <f>C5+C6+C7</f>
        <v>0</v>
      </c>
      <c r="D16" s="121">
        <f t="shared" si="1"/>
        <v>0</v>
      </c>
    </row>
    <row r="17" spans="1:4" x14ac:dyDescent="0.25">
      <c r="A17" s="48" t="s">
        <v>17</v>
      </c>
      <c r="B17" s="239">
        <f>IF(Variables!$B$10='Salaries &amp; Staffing Patterns'!$B$1,'Salaries &amp; Staffing Patterns'!B6,IF(Variables!$B$10='Salaries &amp; Staffing Patterns'!$C$1,'Salaries &amp; Staffing Patterns'!C6,IF(Variables!$B$10='Salaries &amp; Staffing Patterns'!$D$1,'Salaries &amp; Staffing Patterns'!D6,0)))</f>
        <v>35000</v>
      </c>
      <c r="C17" s="120">
        <f>C10</f>
        <v>0</v>
      </c>
      <c r="D17" s="121">
        <f t="shared" si="1"/>
        <v>0</v>
      </c>
    </row>
    <row r="18" spans="1:4" x14ac:dyDescent="0.25">
      <c r="A18" s="48" t="s">
        <v>18</v>
      </c>
      <c r="B18" s="239">
        <f>IF(Variables!$B$10='Salaries &amp; Staffing Patterns'!$B$1,'Salaries &amp; Staffing Patterns'!B7,IF(Variables!$B$10='Salaries &amp; Staffing Patterns'!$C$1,'Salaries &amp; Staffing Patterns'!C7,IF(Variables!$B$10='Salaries &amp; Staffing Patterns'!$D$1,'Salaries &amp; Staffing Patterns'!D7,0)))</f>
        <v>29250</v>
      </c>
      <c r="C18" s="120">
        <f>C10</f>
        <v>0</v>
      </c>
      <c r="D18" s="121">
        <f t="shared" si="1"/>
        <v>0</v>
      </c>
    </row>
    <row r="19" spans="1:4" x14ac:dyDescent="0.25">
      <c r="A19" s="47" t="s">
        <v>19</v>
      </c>
      <c r="B19" s="239">
        <f>IF(Variables!$B$10='Salaries &amp; Staffing Patterns'!$B$1,'Salaries &amp; Staffing Patterns'!B8,IF(Variables!$B$10='Salaries &amp; Staffing Patterns'!$C$1,'Salaries &amp; Staffing Patterns'!C8,IF(Variables!$B$10='Salaries &amp; Staffing Patterns'!$D$1,'Salaries &amp; Staffing Patterns'!D8,0)))</f>
        <v>47000</v>
      </c>
      <c r="C19" s="120">
        <f>C10*0.2</f>
        <v>0</v>
      </c>
      <c r="D19" s="121">
        <f t="shared" si="1"/>
        <v>0</v>
      </c>
    </row>
    <row r="20" spans="1:4" x14ac:dyDescent="0.25">
      <c r="A20" s="47" t="s">
        <v>20</v>
      </c>
      <c r="B20" s="239">
        <f>IF(Variables!$B$10='Salaries &amp; Staffing Patterns'!$B$1,'Salaries &amp; Staffing Patterns'!B9,IF(Variables!$B$10='Salaries &amp; Staffing Patterns'!$C$1,'Salaries &amp; Staffing Patterns'!C9,IF(Variables!$B$10='Salaries &amp; Staffing Patterns'!$D$1,'Salaries &amp; Staffing Patterns'!D9,0)))</f>
        <v>32000</v>
      </c>
      <c r="C20" s="120">
        <f>C10*0.2</f>
        <v>0</v>
      </c>
      <c r="D20" s="121">
        <f t="shared" si="1"/>
        <v>0</v>
      </c>
    </row>
    <row r="21" spans="1:4" x14ac:dyDescent="0.25">
      <c r="A21" s="46" t="s">
        <v>21</v>
      </c>
      <c r="B21" s="239">
        <f>IF(Variables!$B$10='Salaries &amp; Staffing Patterns'!$B$1,'Salaries &amp; Staffing Patterns'!B10,IF(Variables!$B$10='Salaries &amp; Staffing Patterns'!$C$1,'Salaries &amp; Staffing Patterns'!C10,IF(Variables!$B$10='Salaries &amp; Staffing Patterns'!$D$1,'Salaries &amp; Staffing Patterns'!D10,0)))</f>
        <v>40000</v>
      </c>
      <c r="C21" s="232">
        <f>D10/34</f>
        <v>0</v>
      </c>
      <c r="D21" s="121">
        <f t="shared" si="1"/>
        <v>0</v>
      </c>
    </row>
    <row r="22" spans="1:4" x14ac:dyDescent="0.25">
      <c r="A22" s="46" t="s">
        <v>22</v>
      </c>
      <c r="B22" s="239">
        <f>IF(Variables!$B$10='Salaries &amp; Staffing Patterns'!$B$1,'Salaries &amp; Staffing Patterns'!B11,IF(Variables!$B$10='Salaries &amp; Staffing Patterns'!$C$1,'Salaries &amp; Staffing Patterns'!C11,IF(Variables!$B$10='Salaries &amp; Staffing Patterns'!$D$1,'Salaries &amp; Staffing Patterns'!D11,0)))</f>
        <v>48000</v>
      </c>
      <c r="C22" s="120">
        <v>1</v>
      </c>
      <c r="D22" s="121">
        <f t="shared" si="1"/>
        <v>48000</v>
      </c>
    </row>
    <row r="23" spans="1:4" x14ac:dyDescent="0.25">
      <c r="A23" s="48" t="s">
        <v>24</v>
      </c>
      <c r="B23" s="239">
        <f>IF(Variables!$B$10='Salaries &amp; Staffing Patterns'!$B$1,'Salaries &amp; Staffing Patterns'!B12,IF(Variables!$B$10='Salaries &amp; Staffing Patterns'!$C$1,'Salaries &amp; Staffing Patterns'!C12,IF(Variables!$B$10='Salaries &amp; Staffing Patterns'!$D$1,'Salaries &amp; Staffing Patterns'!D12,0)))</f>
        <v>55000</v>
      </c>
      <c r="C23" s="120">
        <v>1</v>
      </c>
      <c r="D23" s="121">
        <f t="shared" si="1"/>
        <v>55000</v>
      </c>
    </row>
    <row r="24" spans="1:4" x14ac:dyDescent="0.25">
      <c r="A24" s="49" t="s">
        <v>25</v>
      </c>
      <c r="B24" s="239">
        <f>IF(Variables!$B$10='Salaries &amp; Staffing Patterns'!$B$1,'Salaries &amp; Staffing Patterns'!B13,IF(Variables!$B$10='Salaries &amp; Staffing Patterns'!$C$1,'Salaries &amp; Staffing Patterns'!C13,IF(Variables!$B$10='Salaries &amp; Staffing Patterns'!$D$1,'Salaries &amp; Staffing Patterns'!D13,0)))</f>
        <v>28000</v>
      </c>
      <c r="C24" s="120">
        <v>1</v>
      </c>
      <c r="D24" s="121">
        <f t="shared" si="1"/>
        <v>28000</v>
      </c>
    </row>
    <row r="25" spans="1:4" x14ac:dyDescent="0.25">
      <c r="A25" s="48" t="s">
        <v>26</v>
      </c>
      <c r="B25" s="239">
        <f>IF(Variables!$B$10='Salaries &amp; Staffing Patterns'!$B$1,'Salaries &amp; Staffing Patterns'!B14,IF(Variables!$B$10='Salaries &amp; Staffing Patterns'!$C$1,'Salaries &amp; Staffing Patterns'!C14,IF(Variables!$B$10='Salaries &amp; Staffing Patterns'!$D$1,'Salaries &amp; Staffing Patterns'!D14,0)))</f>
        <v>22000</v>
      </c>
      <c r="C25" s="120">
        <v>1</v>
      </c>
      <c r="D25" s="121">
        <f t="shared" si="1"/>
        <v>22000</v>
      </c>
    </row>
    <row r="26" spans="1:4" x14ac:dyDescent="0.25">
      <c r="A26" s="48" t="s">
        <v>27</v>
      </c>
      <c r="B26" s="239">
        <f>IF(Variables!$B$10='Salaries &amp; Staffing Patterns'!$B$1,'Salaries &amp; Staffing Patterns'!B15,IF(Variables!$B$10='Salaries &amp; Staffing Patterns'!$C$1,'Salaries &amp; Staffing Patterns'!C15,IF(Variables!$B$10='Salaries &amp; Staffing Patterns'!$D$1,'Salaries &amp; Staffing Patterns'!D15,0)))</f>
        <v>40000</v>
      </c>
      <c r="C26" s="120">
        <v>1</v>
      </c>
      <c r="D26" s="121">
        <f t="shared" si="1"/>
        <v>40000</v>
      </c>
    </row>
    <row r="27" spans="1:4" x14ac:dyDescent="0.25">
      <c r="A27" s="48" t="s">
        <v>28</v>
      </c>
      <c r="B27" s="239">
        <f>IF(Variables!$B$10='Salaries &amp; Staffing Patterns'!$B$1,'Salaries &amp; Staffing Patterns'!B17,IF(Variables!$B$10='Salaries &amp; Staffing Patterns'!$C$1,'Salaries &amp; Staffing Patterns'!C17,IF(Variables!$B$10='Salaries &amp; Staffing Patterns'!$D$1,'Salaries &amp; Staffing Patterns'!D17,0)))</f>
        <v>0</v>
      </c>
      <c r="C27" s="112"/>
      <c r="D27" s="121">
        <f t="shared" si="1"/>
        <v>0</v>
      </c>
    </row>
    <row r="28" spans="1:4" x14ac:dyDescent="0.25">
      <c r="A28" s="50" t="s">
        <v>10</v>
      </c>
      <c r="B28" s="52"/>
      <c r="C28" s="273">
        <f t="shared" ref="C28:D28" si="2">SUM(C13:C27)</f>
        <v>7</v>
      </c>
      <c r="D28" s="121">
        <f t="shared" si="2"/>
        <v>328000</v>
      </c>
    </row>
    <row r="29" spans="1:4" x14ac:dyDescent="0.25">
      <c r="A29" s="76" t="s">
        <v>31</v>
      </c>
      <c r="B29" s="52"/>
      <c r="C29" s="122"/>
      <c r="D29" s="121"/>
    </row>
    <row r="30" spans="1:4" x14ac:dyDescent="0.25">
      <c r="A30" s="48" t="s">
        <v>11</v>
      </c>
      <c r="B30" s="82">
        <v>7.6499999999999999E-2</v>
      </c>
      <c r="C30" s="122"/>
      <c r="D30" s="121">
        <f>B30*D28</f>
        <v>25092</v>
      </c>
    </row>
    <row r="31" spans="1:4" x14ac:dyDescent="0.25">
      <c r="A31" s="48" t="s">
        <v>32</v>
      </c>
      <c r="B31" s="82">
        <f>IF(Variables!B11='Salaries &amp; Staffing Patterns'!B30,'Salaries &amp; Staffing Patterns'!B31,IF(Variables!B11='Salaries &amp; Staffing Patterns'!C30,'Salaries &amp; Staffing Patterns'!C31,IF(Variables!B11='Salaries &amp; Staffing Patterns'!D30,'Salaries &amp; Staffing Patterns'!D31,0)))</f>
        <v>0.10349999999999999</v>
      </c>
      <c r="C31" s="122"/>
      <c r="D31" s="121">
        <f>B31*D28</f>
        <v>33948</v>
      </c>
    </row>
    <row r="32" spans="1:4" x14ac:dyDescent="0.25">
      <c r="A32" s="5"/>
      <c r="B32" s="83"/>
      <c r="C32" s="70"/>
      <c r="D32" s="123"/>
    </row>
    <row r="33" spans="1:4" x14ac:dyDescent="0.25">
      <c r="A33" s="66" t="s">
        <v>33</v>
      </c>
      <c r="B33" s="81"/>
      <c r="C33" s="124"/>
      <c r="D33" s="125">
        <f>D28+D30+D31</f>
        <v>387040</v>
      </c>
    </row>
    <row r="34" spans="1:4" x14ac:dyDescent="0.25">
      <c r="C34" s="126"/>
      <c r="D34" s="123"/>
    </row>
    <row r="35" spans="1:4" x14ac:dyDescent="0.25">
      <c r="A35" s="67" t="s">
        <v>34</v>
      </c>
      <c r="C35" s="124"/>
      <c r="D35" s="127"/>
    </row>
    <row r="36" spans="1:4" x14ac:dyDescent="0.25">
      <c r="A36" s="68" t="s">
        <v>35</v>
      </c>
      <c r="C36" s="124"/>
      <c r="D36" s="127">
        <f>'Non-personnel expenses'!B2*$D$10</f>
        <v>0</v>
      </c>
    </row>
    <row r="37" spans="1:4" x14ac:dyDescent="0.25">
      <c r="A37" s="68" t="s">
        <v>36</v>
      </c>
      <c r="C37" s="124"/>
      <c r="D37" s="127">
        <f>'Non-personnel expenses'!B3*$D$10</f>
        <v>0</v>
      </c>
    </row>
    <row r="38" spans="1:4" x14ac:dyDescent="0.25">
      <c r="A38" s="68" t="s">
        <v>37</v>
      </c>
      <c r="C38" s="124"/>
      <c r="D38" s="127">
        <f>'Non-personnel expenses'!B4*$D$10</f>
        <v>0</v>
      </c>
    </row>
    <row r="39" spans="1:4" x14ac:dyDescent="0.25">
      <c r="A39" s="68" t="s">
        <v>38</v>
      </c>
      <c r="C39" s="124"/>
      <c r="D39" s="127">
        <f>'Non-personnel expenses'!B5*$D$10</f>
        <v>0</v>
      </c>
    </row>
    <row r="40" spans="1:4" x14ac:dyDescent="0.25">
      <c r="A40" s="68" t="s">
        <v>39</v>
      </c>
      <c r="C40" s="124"/>
      <c r="D40" s="127">
        <f>$C$10*('Non-personnel expenses'!B6*'Non-personnel expenses'!$E$6)</f>
        <v>0</v>
      </c>
    </row>
    <row r="41" spans="1:4" x14ac:dyDescent="0.25">
      <c r="A41" s="68" t="s">
        <v>40</v>
      </c>
      <c r="C41" s="124"/>
      <c r="D41" s="127">
        <f>$C$10*('Non-personnel expenses'!B7*'Non-personnel expenses'!$E$6)+'Non-personnel expenses'!B19</f>
        <v>1440</v>
      </c>
    </row>
    <row r="42" spans="1:4" x14ac:dyDescent="0.25">
      <c r="A42" s="68" t="s">
        <v>41</v>
      </c>
      <c r="C42" s="124"/>
      <c r="D42" s="127">
        <f>$C$10*('Non-personnel expenses'!B8*'Non-personnel expenses'!$E$6)</f>
        <v>0</v>
      </c>
    </row>
    <row r="43" spans="1:4" x14ac:dyDescent="0.25">
      <c r="A43" s="68" t="s">
        <v>42</v>
      </c>
      <c r="C43" s="124"/>
      <c r="D43" s="127">
        <f>'Non-personnel expenses'!B9</f>
        <v>500</v>
      </c>
    </row>
    <row r="44" spans="1:4" x14ac:dyDescent="0.25">
      <c r="A44" s="69" t="s">
        <v>44</v>
      </c>
      <c r="C44" s="124"/>
      <c r="D44" s="127">
        <f>C28*'Non-personnel expenses'!B11</f>
        <v>1400</v>
      </c>
    </row>
    <row r="45" spans="1:4" ht="30.75" x14ac:dyDescent="0.25">
      <c r="A45" s="73" t="s">
        <v>123</v>
      </c>
      <c r="C45" s="124"/>
      <c r="D45" s="127">
        <f>C10*'Non-personnel expenses'!B16</f>
        <v>0</v>
      </c>
    </row>
    <row r="46" spans="1:4" x14ac:dyDescent="0.25">
      <c r="A46" s="73" t="s">
        <v>124</v>
      </c>
      <c r="C46" s="124"/>
      <c r="D46" s="127">
        <f>C10*'Non-personnel expenses'!B17</f>
        <v>0</v>
      </c>
    </row>
    <row r="47" spans="1:4" x14ac:dyDescent="0.25">
      <c r="A47" s="73" t="s">
        <v>122</v>
      </c>
      <c r="C47" s="124"/>
      <c r="D47" s="127">
        <f>'Non-personnel expenses'!B10</f>
        <v>3000</v>
      </c>
    </row>
    <row r="48" spans="1:4" x14ac:dyDescent="0.25">
      <c r="A48" s="73" t="s">
        <v>104</v>
      </c>
      <c r="C48" s="124"/>
      <c r="D48" s="127">
        <f>D10*'Non-personnel expenses'!B18</f>
        <v>0</v>
      </c>
    </row>
    <row r="49" spans="1:4" x14ac:dyDescent="0.25">
      <c r="A49" s="69" t="s">
        <v>45</v>
      </c>
      <c r="C49" s="124"/>
      <c r="D49" s="127"/>
    </row>
    <row r="50" spans="1:4" x14ac:dyDescent="0.25">
      <c r="A50" s="68" t="s">
        <v>46</v>
      </c>
      <c r="C50" s="124"/>
      <c r="D50" s="127"/>
    </row>
    <row r="51" spans="1:4" ht="16.5" thickBot="1" x14ac:dyDescent="0.3">
      <c r="C51" s="128"/>
      <c r="D51" s="129"/>
    </row>
    <row r="52" spans="1:4" x14ac:dyDescent="0.25">
      <c r="A52" s="45" t="s">
        <v>99</v>
      </c>
      <c r="C52" s="70"/>
      <c r="D52" s="96">
        <f>SUM(D36:D50)</f>
        <v>6340</v>
      </c>
    </row>
    <row r="53" spans="1:4" x14ac:dyDescent="0.25">
      <c r="C53" s="70"/>
      <c r="D53" s="70"/>
    </row>
    <row r="54" spans="1:4" x14ac:dyDescent="0.25">
      <c r="A54" s="4" t="s">
        <v>100</v>
      </c>
      <c r="D54" s="97">
        <f>D33+D52</f>
        <v>393380</v>
      </c>
    </row>
    <row r="55" spans="1:4" ht="18.75" x14ac:dyDescent="0.3">
      <c r="A55" s="1"/>
      <c r="B55" s="2"/>
      <c r="C55" s="3"/>
      <c r="D55" s="97"/>
    </row>
    <row r="56" spans="1:4" ht="19.5" thickBot="1" x14ac:dyDescent="0.35">
      <c r="A56" s="1"/>
      <c r="C56" s="3"/>
    </row>
    <row r="57" spans="1:4" ht="19.5" thickBot="1" x14ac:dyDescent="0.35">
      <c r="A57" s="84" t="s">
        <v>131</v>
      </c>
      <c r="B57" s="78"/>
      <c r="C57" s="79"/>
      <c r="D57" s="108">
        <f>D54</f>
        <v>393380</v>
      </c>
    </row>
    <row r="58" spans="1:4" ht="18.75" x14ac:dyDescent="0.3">
      <c r="A58" s="80"/>
      <c r="B58" s="64"/>
      <c r="C58" s="77"/>
      <c r="D58" s="64"/>
    </row>
    <row r="60" spans="1:4" ht="18" x14ac:dyDescent="0.25">
      <c r="A60" s="54" t="s">
        <v>56</v>
      </c>
      <c r="D60" s="57"/>
    </row>
    <row r="61" spans="1:4" ht="18.75" thickBot="1" x14ac:dyDescent="0.3">
      <c r="A61" s="54"/>
      <c r="C61" t="s">
        <v>226</v>
      </c>
      <c r="D61" s="36" t="s">
        <v>220</v>
      </c>
    </row>
    <row r="62" spans="1:4" ht="16.5" thickBot="1" x14ac:dyDescent="0.3">
      <c r="A62" s="326" t="s">
        <v>219</v>
      </c>
      <c r="B62" s="86" t="s">
        <v>49</v>
      </c>
      <c r="C62" s="88">
        <v>11000</v>
      </c>
      <c r="D62" s="130">
        <f>ROUNDUP(D5*Variables!$B$17,0)*C62</f>
        <v>0</v>
      </c>
    </row>
    <row r="63" spans="1:4" ht="16.5" thickBot="1" x14ac:dyDescent="0.3">
      <c r="A63" s="327"/>
      <c r="B63" s="75" t="s">
        <v>50</v>
      </c>
      <c r="C63" s="88">
        <v>11000</v>
      </c>
      <c r="D63" s="130">
        <f>ROUNDUP(D6*Variables!$B$17,0)*C63</f>
        <v>0</v>
      </c>
    </row>
    <row r="64" spans="1:4" ht="16.5" thickBot="1" x14ac:dyDescent="0.3">
      <c r="A64" s="327"/>
      <c r="B64" s="75" t="s">
        <v>51</v>
      </c>
      <c r="C64" s="88">
        <v>11000</v>
      </c>
      <c r="D64" s="130">
        <f>ROUNDUP(D7*Variables!$B$17,0)*C64</f>
        <v>0</v>
      </c>
    </row>
    <row r="65" spans="1:4" ht="16.5" thickBot="1" x14ac:dyDescent="0.3">
      <c r="A65" s="327"/>
      <c r="B65" s="75" t="s">
        <v>54</v>
      </c>
      <c r="C65" s="88">
        <v>5400</v>
      </c>
      <c r="D65" s="130">
        <f>ROUNDUP(D8*Variables!$B$18,0)*C65</f>
        <v>0</v>
      </c>
    </row>
    <row r="66" spans="1:4" ht="16.5" thickBot="1" x14ac:dyDescent="0.3">
      <c r="A66" s="328"/>
      <c r="B66" s="87" t="s">
        <v>53</v>
      </c>
      <c r="C66" s="88">
        <v>5400</v>
      </c>
      <c r="D66" s="130">
        <f>ROUNDUP(D9*Variables!$B$18,0)*C66</f>
        <v>0</v>
      </c>
    </row>
    <row r="67" spans="1:4" x14ac:dyDescent="0.25">
      <c r="A67" s="59"/>
      <c r="B67" s="58"/>
      <c r="C67" s="64"/>
      <c r="D67" s="96">
        <f>SUMIF(D62:D66,"&gt;0")</f>
        <v>0</v>
      </c>
    </row>
    <row r="68" spans="1:4" x14ac:dyDescent="0.25">
      <c r="A68" s="59"/>
      <c r="B68" s="58"/>
      <c r="C68" s="64"/>
      <c r="D68" s="96"/>
    </row>
    <row r="69" spans="1:4" x14ac:dyDescent="0.25">
      <c r="A69" s="59"/>
      <c r="B69" s="58"/>
      <c r="C69" s="64"/>
      <c r="D69" s="96"/>
    </row>
    <row r="70" spans="1:4" ht="18.75" thickBot="1" x14ac:dyDescent="0.3">
      <c r="A70" s="54"/>
      <c r="C70" t="s">
        <v>227</v>
      </c>
      <c r="D70" s="36" t="s">
        <v>222</v>
      </c>
    </row>
    <row r="71" spans="1:4" x14ac:dyDescent="0.25">
      <c r="A71" s="326" t="s">
        <v>221</v>
      </c>
      <c r="B71" s="86" t="s">
        <v>49</v>
      </c>
      <c r="C71" s="88">
        <v>13500</v>
      </c>
      <c r="D71" s="250">
        <f>ROUNDUP(D5*Variables!$B$21,0)*C71</f>
        <v>0</v>
      </c>
    </row>
    <row r="72" spans="1:4" x14ac:dyDescent="0.25">
      <c r="A72" s="327"/>
      <c r="B72" s="75" t="s">
        <v>50</v>
      </c>
      <c r="C72" s="85">
        <v>13500</v>
      </c>
      <c r="D72" s="127">
        <f>ROUNDUP(D6*Variables!$B$21,0)*C72</f>
        <v>0</v>
      </c>
    </row>
    <row r="73" spans="1:4" x14ac:dyDescent="0.25">
      <c r="A73" s="327"/>
      <c r="B73" s="75" t="s">
        <v>51</v>
      </c>
      <c r="C73" s="85">
        <v>13500</v>
      </c>
      <c r="D73" s="127">
        <f>ROUNDUP(D7*Variables!$B$21,0)*C73</f>
        <v>0</v>
      </c>
    </row>
    <row r="74" spans="1:4" x14ac:dyDescent="0.25">
      <c r="A74" s="327"/>
      <c r="B74" s="75" t="s">
        <v>54</v>
      </c>
      <c r="C74" s="85">
        <v>11000</v>
      </c>
      <c r="D74" s="127">
        <f>ROUNDUP(D8*Variables!$B$22,0)*C74</f>
        <v>0</v>
      </c>
    </row>
    <row r="75" spans="1:4" ht="16.5" thickBot="1" x14ac:dyDescent="0.3">
      <c r="A75" s="328"/>
      <c r="B75" s="87" t="s">
        <v>53</v>
      </c>
      <c r="C75" s="89">
        <v>11000</v>
      </c>
      <c r="D75" s="251">
        <f>ROUNDUP(D9*Variables!$B$22,0)*C75</f>
        <v>0</v>
      </c>
    </row>
    <row r="76" spans="1:4" x14ac:dyDescent="0.25">
      <c r="A76" s="59"/>
      <c r="B76" s="58"/>
      <c r="C76" s="64"/>
      <c r="D76" s="96">
        <f>SUMIF(D71:D75,"&gt;0")</f>
        <v>0</v>
      </c>
    </row>
    <row r="77" spans="1:4" x14ac:dyDescent="0.25">
      <c r="A77" s="59"/>
      <c r="B77" s="58"/>
      <c r="C77" s="64"/>
      <c r="D77" s="96"/>
    </row>
    <row r="78" spans="1:4" x14ac:dyDescent="0.25">
      <c r="A78" s="59"/>
      <c r="B78" s="58"/>
      <c r="C78" s="64"/>
      <c r="D78" s="96"/>
    </row>
    <row r="79" spans="1:4" ht="18.75" thickBot="1" x14ac:dyDescent="0.3">
      <c r="A79" s="54"/>
      <c r="C79" t="s">
        <v>229</v>
      </c>
      <c r="D79" s="36" t="s">
        <v>224</v>
      </c>
    </row>
    <row r="80" spans="1:4" ht="17.100000000000001" customHeight="1" x14ac:dyDescent="0.25">
      <c r="A80" s="335" t="s">
        <v>223</v>
      </c>
      <c r="B80" s="86" t="s">
        <v>49</v>
      </c>
      <c r="C80" s="88">
        <v>11165</v>
      </c>
      <c r="D80" s="250">
        <f>ROUNDUP(D5*Variables!$B$25,0)*C80</f>
        <v>0</v>
      </c>
    </row>
    <row r="81" spans="1:8" x14ac:dyDescent="0.25">
      <c r="A81" s="336"/>
      <c r="B81" s="75" t="s">
        <v>50</v>
      </c>
      <c r="C81" s="85">
        <v>11165</v>
      </c>
      <c r="D81" s="127">
        <f>ROUNDUP(D6*Variables!$B$25,0)*C81</f>
        <v>0</v>
      </c>
    </row>
    <row r="82" spans="1:8" ht="16.5" thickBot="1" x14ac:dyDescent="0.3">
      <c r="A82" s="337"/>
      <c r="B82" s="87" t="s">
        <v>51</v>
      </c>
      <c r="C82" s="89">
        <v>11165</v>
      </c>
      <c r="D82" s="251">
        <f>ROUNDUP(D7*Variables!$B$25,0)*C82</f>
        <v>0</v>
      </c>
    </row>
    <row r="83" spans="1:8" x14ac:dyDescent="0.25">
      <c r="A83" s="59"/>
      <c r="B83" s="58"/>
      <c r="C83" s="64"/>
      <c r="D83" s="96">
        <f>SUMIF(D80:D82,"&gt;0")</f>
        <v>0</v>
      </c>
    </row>
    <row r="84" spans="1:8" x14ac:dyDescent="0.25">
      <c r="A84" s="59"/>
      <c r="B84" s="58"/>
      <c r="C84" s="64"/>
      <c r="D84" s="96"/>
    </row>
    <row r="85" spans="1:8" x14ac:dyDescent="0.25">
      <c r="A85" s="59"/>
      <c r="B85" s="58"/>
      <c r="C85" s="58"/>
      <c r="D85" s="70" t="s">
        <v>102</v>
      </c>
    </row>
    <row r="86" spans="1:8" x14ac:dyDescent="0.25">
      <c r="A86" s="59"/>
      <c r="C86" s="64" t="s">
        <v>59</v>
      </c>
      <c r="D86" s="133">
        <f>Variables!B28</f>
        <v>0</v>
      </c>
    </row>
    <row r="87" spans="1:8" x14ac:dyDescent="0.25">
      <c r="A87" s="59"/>
      <c r="C87" s="64" t="s">
        <v>60</v>
      </c>
      <c r="D87" s="133">
        <f>Variables!B29</f>
        <v>0</v>
      </c>
    </row>
    <row r="88" spans="1:8" ht="16.5" thickBot="1" x14ac:dyDescent="0.3">
      <c r="A88" s="8"/>
      <c r="C88" s="64" t="s">
        <v>198</v>
      </c>
      <c r="D88" s="36" t="s">
        <v>199</v>
      </c>
    </row>
    <row r="89" spans="1:8" x14ac:dyDescent="0.25">
      <c r="A89" s="329" t="s">
        <v>95</v>
      </c>
      <c r="B89" s="86" t="s">
        <v>49</v>
      </c>
      <c r="C89" s="88">
        <f>'Revenue Sources'!E11</f>
        <v>10151.5568</v>
      </c>
      <c r="D89" s="250">
        <f>ROUNDUP(D86*D5,0)*C89</f>
        <v>0</v>
      </c>
    </row>
    <row r="90" spans="1:8" x14ac:dyDescent="0.25">
      <c r="A90" s="330"/>
      <c r="B90" s="75" t="s">
        <v>50</v>
      </c>
      <c r="C90" s="85">
        <f>'Revenue Sources'!E12</f>
        <v>10151.5568</v>
      </c>
      <c r="D90" s="127">
        <f>ROUNDUP(D86*D6,0)*C90</f>
        <v>0</v>
      </c>
      <c r="F90" s="242"/>
      <c r="G90" s="242"/>
    </row>
    <row r="91" spans="1:8" x14ac:dyDescent="0.25">
      <c r="A91" s="330"/>
      <c r="B91" s="75" t="s">
        <v>51</v>
      </c>
      <c r="C91" s="85">
        <f>'Revenue Sources'!E13</f>
        <v>8572.3791999999976</v>
      </c>
      <c r="D91" s="127">
        <f>ROUNDUP(D86*D7,0)*C91</f>
        <v>0</v>
      </c>
      <c r="F91" s="242"/>
      <c r="G91" s="97"/>
      <c r="H91" s="97"/>
    </row>
    <row r="92" spans="1:8" x14ac:dyDescent="0.25">
      <c r="A92" s="330"/>
      <c r="B92" s="75" t="s">
        <v>54</v>
      </c>
      <c r="C92" s="85">
        <f>'Revenue Sources'!E14</f>
        <v>7143.9983999999995</v>
      </c>
      <c r="D92" s="127">
        <f>ROUNDUP(D87*D8,0)*C92</f>
        <v>0</v>
      </c>
    </row>
    <row r="93" spans="1:8" ht="16.5" thickBot="1" x14ac:dyDescent="0.3">
      <c r="A93" s="331"/>
      <c r="B93" s="87" t="s">
        <v>53</v>
      </c>
      <c r="C93" s="89">
        <f>'Revenue Sources'!E15</f>
        <v>7143.9983999999995</v>
      </c>
      <c r="D93" s="251">
        <f>ROUNDUP(D87*D9,0)*C93</f>
        <v>0</v>
      </c>
      <c r="F93" s="249"/>
      <c r="G93" s="242"/>
    </row>
    <row r="94" spans="1:8" x14ac:dyDescent="0.25">
      <c r="A94" s="59"/>
      <c r="B94" s="58"/>
      <c r="D94" s="134">
        <f>SUMIF(D89:D93,"&gt;0")</f>
        <v>0</v>
      </c>
      <c r="F94" s="249"/>
    </row>
    <row r="95" spans="1:8" x14ac:dyDescent="0.25">
      <c r="A95" s="59"/>
      <c r="B95" s="58"/>
      <c r="D95" s="134"/>
      <c r="F95" s="249"/>
    </row>
    <row r="96" spans="1:8" x14ac:dyDescent="0.25">
      <c r="A96" s="59"/>
      <c r="B96" s="58"/>
      <c r="C96" s="58"/>
      <c r="D96" s="70" t="s">
        <v>102</v>
      </c>
      <c r="F96" s="249"/>
    </row>
    <row r="97" spans="1:7" x14ac:dyDescent="0.25">
      <c r="A97" s="59"/>
      <c r="C97" s="64" t="s">
        <v>61</v>
      </c>
      <c r="D97" s="133">
        <f>Variables!B32</f>
        <v>0</v>
      </c>
    </row>
    <row r="98" spans="1:7" x14ac:dyDescent="0.25">
      <c r="A98" s="59"/>
      <c r="C98" s="64" t="s">
        <v>62</v>
      </c>
      <c r="D98" s="133">
        <f>Variables!B33</f>
        <v>0</v>
      </c>
      <c r="G98" s="249"/>
    </row>
    <row r="99" spans="1:7" ht="16.5" thickBot="1" x14ac:dyDescent="0.3">
      <c r="A99" s="8"/>
      <c r="C99" s="71" t="s">
        <v>198</v>
      </c>
      <c r="D99" t="s">
        <v>200</v>
      </c>
      <c r="G99" s="249"/>
    </row>
    <row r="100" spans="1:7" x14ac:dyDescent="0.25">
      <c r="A100" s="329" t="s">
        <v>101</v>
      </c>
      <c r="B100" s="86" t="s">
        <v>49</v>
      </c>
      <c r="C100" s="88" t="e">
        <f>'Revenue Sources'!B11</f>
        <v>#VALUE!</v>
      </c>
      <c r="D100" s="130" t="e">
        <f>C100*($D$97*D5)</f>
        <v>#VALUE!</v>
      </c>
    </row>
    <row r="101" spans="1:7" x14ac:dyDescent="0.25">
      <c r="A101" s="330"/>
      <c r="B101" s="75" t="s">
        <v>50</v>
      </c>
      <c r="C101" s="85" t="e">
        <f>'Revenue Sources'!B12</f>
        <v>#VALUE!</v>
      </c>
      <c r="D101" s="131" t="e">
        <f>C101*($D$97*D6)</f>
        <v>#VALUE!</v>
      </c>
    </row>
    <row r="102" spans="1:7" x14ac:dyDescent="0.25">
      <c r="A102" s="330"/>
      <c r="B102" s="75" t="s">
        <v>51</v>
      </c>
      <c r="C102" s="85" t="e">
        <f>'Revenue Sources'!B13</f>
        <v>#VALUE!</v>
      </c>
      <c r="D102" s="131" t="e">
        <f>C102*($D$97*D7)</f>
        <v>#VALUE!</v>
      </c>
    </row>
    <row r="103" spans="1:7" x14ac:dyDescent="0.25">
      <c r="A103" s="330"/>
      <c r="B103" s="75" t="s">
        <v>54</v>
      </c>
      <c r="C103" s="85" t="e">
        <f>'Revenue Sources'!B14</f>
        <v>#VALUE!</v>
      </c>
      <c r="D103" s="131" t="e">
        <f>C103*($D$98*D8)</f>
        <v>#VALUE!</v>
      </c>
    </row>
    <row r="104" spans="1:7" ht="16.5" thickBot="1" x14ac:dyDescent="0.3">
      <c r="A104" s="331"/>
      <c r="B104" s="87" t="s">
        <v>53</v>
      </c>
      <c r="C104" s="89" t="e">
        <f>'Revenue Sources'!B15</f>
        <v>#VALUE!</v>
      </c>
      <c r="D104" s="132" t="e">
        <f>C104*($D$98*D9)</f>
        <v>#VALUE!</v>
      </c>
    </row>
    <row r="105" spans="1:7" x14ac:dyDescent="0.25">
      <c r="A105" s="59"/>
      <c r="B105" s="58"/>
      <c r="C105" s="72"/>
      <c r="D105" s="96">
        <f>SUMIF(D100:D104,"&gt;0")</f>
        <v>0</v>
      </c>
    </row>
    <row r="106" spans="1:7" x14ac:dyDescent="0.25">
      <c r="A106" s="59"/>
      <c r="B106" s="58"/>
      <c r="C106" s="72"/>
      <c r="D106" s="96"/>
    </row>
    <row r="107" spans="1:7" x14ac:dyDescent="0.25">
      <c r="A107" s="59"/>
      <c r="B107" s="58"/>
      <c r="C107" s="72"/>
      <c r="D107" s="96" t="s">
        <v>102</v>
      </c>
    </row>
    <row r="108" spans="1:7" x14ac:dyDescent="0.25">
      <c r="A108" s="59"/>
      <c r="B108" s="58"/>
      <c r="C108" s="72" t="s">
        <v>169</v>
      </c>
      <c r="D108" s="133">
        <f>Variables!B36</f>
        <v>0</v>
      </c>
    </row>
    <row r="109" spans="1:7" x14ac:dyDescent="0.25">
      <c r="A109" s="59"/>
      <c r="B109" s="58"/>
      <c r="C109" s="72" t="s">
        <v>170</v>
      </c>
      <c r="D109" s="133">
        <f>Variables!B37</f>
        <v>0</v>
      </c>
    </row>
    <row r="110" spans="1:7" x14ac:dyDescent="0.25">
      <c r="A110" s="59"/>
      <c r="B110" s="58"/>
      <c r="C110" s="72" t="s">
        <v>196</v>
      </c>
      <c r="D110" s="133">
        <f>Variables!B38</f>
        <v>0</v>
      </c>
    </row>
    <row r="111" spans="1:7" ht="16.5" thickBot="1" x14ac:dyDescent="0.3">
      <c r="A111" s="59"/>
      <c r="B111" s="58"/>
      <c r="C111" s="64" t="s">
        <v>198</v>
      </c>
      <c r="D111" t="s">
        <v>201</v>
      </c>
    </row>
    <row r="112" spans="1:7" x14ac:dyDescent="0.25">
      <c r="A112" s="332" t="s">
        <v>166</v>
      </c>
      <c r="B112" s="86" t="s">
        <v>167</v>
      </c>
      <c r="C112" s="88">
        <f>'Revenue Sources'!G11</f>
        <v>1115.7440000000001</v>
      </c>
      <c r="D112" s="250">
        <f>C112*(D108*D10)</f>
        <v>0</v>
      </c>
    </row>
    <row r="113" spans="1:4" x14ac:dyDescent="0.25">
      <c r="A113" s="333"/>
      <c r="B113" s="75" t="s">
        <v>168</v>
      </c>
      <c r="C113" s="85">
        <f>'Revenue Sources'!H11</f>
        <v>898.68799999999999</v>
      </c>
      <c r="D113" s="127">
        <f>C113*(D109*D10)</f>
        <v>0</v>
      </c>
    </row>
    <row r="114" spans="1:4" ht="16.5" thickBot="1" x14ac:dyDescent="0.3">
      <c r="A114" s="334"/>
      <c r="B114" s="87" t="s">
        <v>197</v>
      </c>
      <c r="C114" s="89">
        <f>'Revenue Sources'!I11</f>
        <v>131.376</v>
      </c>
      <c r="D114" s="251">
        <f>C114*(D110*D10)</f>
        <v>0</v>
      </c>
    </row>
    <row r="115" spans="1:4" x14ac:dyDescent="0.25">
      <c r="A115" s="59"/>
      <c r="B115" s="58"/>
      <c r="C115" s="72"/>
      <c r="D115" s="96">
        <f>D112+D113+D114</f>
        <v>0</v>
      </c>
    </row>
    <row r="116" spans="1:4" x14ac:dyDescent="0.25">
      <c r="A116" s="59"/>
      <c r="B116" s="58"/>
      <c r="C116" s="72"/>
      <c r="D116" s="96"/>
    </row>
    <row r="117" spans="1:4" x14ac:dyDescent="0.25">
      <c r="A117" s="59"/>
      <c r="B117" s="58"/>
      <c r="C117" s="72"/>
      <c r="D117" s="64"/>
    </row>
    <row r="118" spans="1:4" x14ac:dyDescent="0.25">
      <c r="A118" s="7" t="s">
        <v>130</v>
      </c>
      <c r="B118" s="58"/>
      <c r="C118" s="72"/>
      <c r="D118" s="72">
        <f>D67+D76+D83+D94+D105+D115</f>
        <v>0</v>
      </c>
    </row>
    <row r="119" spans="1:4" ht="16.5" thickBot="1" x14ac:dyDescent="0.3">
      <c r="A119" s="59"/>
      <c r="B119" s="58"/>
      <c r="C119" s="72"/>
      <c r="D119" s="72"/>
    </row>
    <row r="120" spans="1:4" ht="18.75" thickBot="1" x14ac:dyDescent="0.3">
      <c r="A120" s="84" t="s">
        <v>132</v>
      </c>
      <c r="B120" s="99"/>
      <c r="C120" s="100"/>
      <c r="D120" s="98">
        <f>D118</f>
        <v>0</v>
      </c>
    </row>
    <row r="121" spans="1:4" ht="16.5" thickBot="1" x14ac:dyDescent="0.3">
      <c r="A121" s="59"/>
      <c r="B121" s="58"/>
      <c r="C121" s="72"/>
      <c r="D121" s="72"/>
    </row>
    <row r="122" spans="1:4" ht="27" customHeight="1" thickBot="1" x14ac:dyDescent="0.3">
      <c r="A122" s="101" t="s">
        <v>106</v>
      </c>
      <c r="B122" s="99"/>
      <c r="C122" s="100"/>
      <c r="D122" s="98">
        <f>D120-D57</f>
        <v>-393380</v>
      </c>
    </row>
    <row r="123" spans="1:4" x14ac:dyDescent="0.25">
      <c r="A123" s="59"/>
      <c r="B123" s="58"/>
      <c r="C123" s="72"/>
      <c r="D123" s="64"/>
    </row>
    <row r="124" spans="1:4" x14ac:dyDescent="0.25">
      <c r="A124" s="59"/>
      <c r="B124" s="58"/>
      <c r="C124" s="72"/>
      <c r="D124" s="64"/>
    </row>
    <row r="125" spans="1:4" x14ac:dyDescent="0.25">
      <c r="A125" s="59"/>
      <c r="B125" s="58"/>
      <c r="C125" s="72"/>
      <c r="D125" s="64"/>
    </row>
    <row r="126" spans="1:4" x14ac:dyDescent="0.25">
      <c r="A126" s="59"/>
      <c r="B126" s="58"/>
    </row>
    <row r="127" spans="1:4" ht="16.5" thickBot="1" x14ac:dyDescent="0.3">
      <c r="A127" s="57" t="s">
        <v>193</v>
      </c>
      <c r="B127" s="57" t="s">
        <v>96</v>
      </c>
      <c r="D127" s="105"/>
    </row>
    <row r="128" spans="1:4" x14ac:dyDescent="0.25">
      <c r="A128" s="60" t="s">
        <v>126</v>
      </c>
      <c r="B128" s="135">
        <v>16400</v>
      </c>
      <c r="C128" s="12"/>
      <c r="D128" s="70"/>
    </row>
    <row r="129" spans="1:4" x14ac:dyDescent="0.25">
      <c r="A129" s="61" t="s">
        <v>127</v>
      </c>
      <c r="B129" s="136">
        <v>11000</v>
      </c>
      <c r="C129" s="12"/>
      <c r="D129" s="70"/>
    </row>
    <row r="130" spans="1:4" x14ac:dyDescent="0.25">
      <c r="A130" s="61" t="s">
        <v>128</v>
      </c>
      <c r="B130" s="136">
        <v>5400</v>
      </c>
      <c r="C130" s="12"/>
      <c r="D130" s="70"/>
    </row>
    <row r="131" spans="1:4" x14ac:dyDescent="0.25">
      <c r="A131" s="62" t="s">
        <v>137</v>
      </c>
      <c r="B131" s="137">
        <v>0</v>
      </c>
      <c r="C131" s="5"/>
      <c r="D131" s="106"/>
    </row>
    <row r="132" spans="1:4" x14ac:dyDescent="0.25">
      <c r="A132" s="61" t="s">
        <v>129</v>
      </c>
      <c r="B132" s="136">
        <v>24500</v>
      </c>
      <c r="C132" s="12"/>
      <c r="D132" s="70"/>
    </row>
    <row r="133" spans="1:4" x14ac:dyDescent="0.25">
      <c r="A133" s="61" t="s">
        <v>133</v>
      </c>
      <c r="B133" s="136">
        <v>13500</v>
      </c>
      <c r="C133" s="12"/>
      <c r="D133" s="70"/>
    </row>
    <row r="134" spans="1:4" x14ac:dyDescent="0.25">
      <c r="A134" s="61" t="s">
        <v>173</v>
      </c>
      <c r="B134" s="136">
        <v>11000</v>
      </c>
      <c r="C134" s="12"/>
      <c r="D134" s="70"/>
    </row>
    <row r="135" spans="1:4" ht="16.5" thickBot="1" x14ac:dyDescent="0.3">
      <c r="A135" s="63" t="s">
        <v>174</v>
      </c>
      <c r="B135" s="138">
        <v>11165</v>
      </c>
      <c r="C135" s="12"/>
    </row>
    <row r="136" spans="1:4" x14ac:dyDescent="0.25">
      <c r="A136" s="11"/>
      <c r="B136" s="12"/>
      <c r="C136" s="12"/>
    </row>
    <row r="138" spans="1:4" hidden="1" x14ac:dyDescent="0.25">
      <c r="A138" s="11" t="s">
        <v>63</v>
      </c>
    </row>
    <row r="139" spans="1:4" hidden="1" x14ac:dyDescent="0.25">
      <c r="A139" s="11" t="s">
        <v>57</v>
      </c>
    </row>
    <row r="140" spans="1:4" hidden="1" x14ac:dyDescent="0.25">
      <c r="A140" s="11" t="s">
        <v>64</v>
      </c>
    </row>
    <row r="141" spans="1:4" hidden="1" x14ac:dyDescent="0.25">
      <c r="A141" s="11" t="s">
        <v>137</v>
      </c>
    </row>
    <row r="142" spans="1:4" hidden="1" x14ac:dyDescent="0.25">
      <c r="A142" s="11" t="s">
        <v>65</v>
      </c>
    </row>
    <row r="143" spans="1:4" hidden="1" x14ac:dyDescent="0.25">
      <c r="A143" s="11" t="s">
        <v>66</v>
      </c>
    </row>
    <row r="144" spans="1:4" hidden="1" x14ac:dyDescent="0.25">
      <c r="A144" s="11" t="s">
        <v>58</v>
      </c>
    </row>
    <row r="145" spans="1:2" hidden="1" x14ac:dyDescent="0.25">
      <c r="A145" s="11" t="s">
        <v>134</v>
      </c>
    </row>
    <row r="146" spans="1:2" hidden="1" x14ac:dyDescent="0.25">
      <c r="A146" s="11" t="s">
        <v>137</v>
      </c>
    </row>
    <row r="147" spans="1:2" x14ac:dyDescent="0.25">
      <c r="A147" s="64"/>
      <c r="B147" s="65"/>
    </row>
  </sheetData>
  <mergeCells count="6">
    <mergeCell ref="A62:A66"/>
    <mergeCell ref="A89:A93"/>
    <mergeCell ref="A100:A104"/>
    <mergeCell ref="A112:A114"/>
    <mergeCell ref="A71:A75"/>
    <mergeCell ref="A80:A8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
  <sheetViews>
    <sheetView topLeftCell="A110" zoomScale="102" workbookViewId="0">
      <selection activeCell="C6" sqref="C6"/>
    </sheetView>
  </sheetViews>
  <sheetFormatPr defaultColWidth="11" defaultRowHeight="15.75" x14ac:dyDescent="0.25"/>
  <cols>
    <col min="1" max="1" width="38.5" customWidth="1"/>
    <col min="2" max="2" width="24.375" customWidth="1"/>
    <col min="3" max="3" width="21.5" customWidth="1"/>
    <col min="4" max="4" width="22.125" customWidth="1"/>
    <col min="5" max="5" width="22.5" customWidth="1"/>
    <col min="6" max="6" width="19.375" customWidth="1"/>
    <col min="7" max="7" width="22.625" customWidth="1"/>
    <col min="8" max="8" width="17.625" customWidth="1"/>
    <col min="10" max="10" width="17.875" customWidth="1"/>
    <col min="11" max="11" width="17.125" customWidth="1"/>
  </cols>
  <sheetData>
    <row r="1" spans="1:4" ht="23.25" x14ac:dyDescent="0.35">
      <c r="A1" s="53" t="s">
        <v>139</v>
      </c>
      <c r="C1" s="3"/>
    </row>
    <row r="2" spans="1:4" ht="23.25" x14ac:dyDescent="0.35">
      <c r="A2" s="53"/>
      <c r="C2" s="297" t="s">
        <v>204</v>
      </c>
    </row>
    <row r="3" spans="1:4" ht="18.75" x14ac:dyDescent="0.3">
      <c r="A3" s="54" t="s">
        <v>140</v>
      </c>
      <c r="C3" s="3"/>
    </row>
    <row r="4" spans="1:4" x14ac:dyDescent="0.25">
      <c r="A4" s="45" t="s">
        <v>0</v>
      </c>
      <c r="B4" s="51" t="s">
        <v>30</v>
      </c>
      <c r="C4" s="118" t="s">
        <v>29</v>
      </c>
      <c r="D4" s="119" t="s">
        <v>55</v>
      </c>
    </row>
    <row r="5" spans="1:4" ht="18.75" x14ac:dyDescent="0.3">
      <c r="A5" s="73" t="s">
        <v>1</v>
      </c>
      <c r="B5" s="85">
        <f>IF(Variables!$B$10='Salaries &amp; Staffing Patterns'!$B$1,'Salaries &amp; Staffing Patterns'!B20,IF(Variables!$B$10='Salaries &amp; Staffing Patterns'!$C$1,'Salaries &amp; Staffing Patterns'!C20,IF(Variables!$B$10='Salaries &amp; Staffing Patterns'!$D$1,'Salaries &amp; Staffing Patterns'!D20,0)))</f>
        <v>90000</v>
      </c>
      <c r="C5" s="299">
        <v>1</v>
      </c>
      <c r="D5" s="85">
        <f>B5*C5</f>
        <v>90000</v>
      </c>
    </row>
    <row r="6" spans="1:4" ht="18.75" x14ac:dyDescent="0.3">
      <c r="A6" s="73" t="s">
        <v>2</v>
      </c>
      <c r="B6" s="85">
        <f>IF(Variables!$B$10='Salaries &amp; Staffing Patterns'!$B$1,'Salaries &amp; Staffing Patterns'!B21,IF(Variables!$B$10='Salaries &amp; Staffing Patterns'!$C$1,'Salaries &amp; Staffing Patterns'!C21,IF(Variables!$B$10='Salaries &amp; Staffing Patterns'!$D$1,'Salaries &amp; Staffing Patterns'!D21,0)))</f>
        <v>75000</v>
      </c>
      <c r="C6" s="299"/>
      <c r="D6" s="85">
        <f t="shared" ref="D6:D14" si="0">B6*C6</f>
        <v>0</v>
      </c>
    </row>
    <row r="7" spans="1:4" ht="18.75" x14ac:dyDescent="0.3">
      <c r="A7" s="73" t="s">
        <v>3</v>
      </c>
      <c r="B7" s="85">
        <f>IF(Variables!$B$10='Salaries &amp; Staffing Patterns'!$B$1,'Salaries &amp; Staffing Patterns'!B22,IF(Variables!$B$10='Salaries &amp; Staffing Patterns'!$C$1,'Salaries &amp; Staffing Patterns'!C22,IF(Variables!$B$10='Salaries &amp; Staffing Patterns'!$D$1,'Salaries &amp; Staffing Patterns'!D22,0)))</f>
        <v>55000</v>
      </c>
      <c r="C7" s="299"/>
      <c r="D7" s="85">
        <f t="shared" si="0"/>
        <v>0</v>
      </c>
    </row>
    <row r="8" spans="1:4" ht="18.75" x14ac:dyDescent="0.3">
      <c r="A8" s="73" t="s">
        <v>4</v>
      </c>
      <c r="B8" s="85">
        <f>IF(Variables!$B$10='Salaries &amp; Staffing Patterns'!$B$1,'Salaries &amp; Staffing Patterns'!B23,IF(Variables!$B$10='Salaries &amp; Staffing Patterns'!$C$1,'Salaries &amp; Staffing Patterns'!C23,IF(Variables!$B$10='Salaries &amp; Staffing Patterns'!$D$1,'Salaries &amp; Staffing Patterns'!D23,0)))</f>
        <v>75000</v>
      </c>
      <c r="C8" s="299"/>
      <c r="D8" s="85">
        <f t="shared" si="0"/>
        <v>0</v>
      </c>
    </row>
    <row r="9" spans="1:4" ht="18.75" x14ac:dyDescent="0.3">
      <c r="A9" s="73" t="s">
        <v>5</v>
      </c>
      <c r="B9" s="85">
        <f>IF(Variables!$B$10='Salaries &amp; Staffing Patterns'!$B$1,'Salaries &amp; Staffing Patterns'!B24,IF(Variables!$B$10='Salaries &amp; Staffing Patterns'!$C$1,'Salaries &amp; Staffing Patterns'!C24,IF(Variables!$B$10='Salaries &amp; Staffing Patterns'!$D$1,'Salaries &amp; Staffing Patterns'!D24,0)))</f>
        <v>55000</v>
      </c>
      <c r="C9" s="299"/>
      <c r="D9" s="85">
        <f t="shared" si="0"/>
        <v>0</v>
      </c>
    </row>
    <row r="10" spans="1:4" ht="18.75" x14ac:dyDescent="0.3">
      <c r="A10" s="73" t="s">
        <v>6</v>
      </c>
      <c r="B10" s="85">
        <f>IF(Variables!$B$10='Salaries &amp; Staffing Patterns'!$B$1,'Salaries &amp; Staffing Patterns'!B25,IF(Variables!$B$10='Salaries &amp; Staffing Patterns'!$C$1,'Salaries &amp; Staffing Patterns'!C25,IF(Variables!$B$10='Salaries &amp; Staffing Patterns'!$D$1,'Salaries &amp; Staffing Patterns'!D25,0)))</f>
        <v>55000</v>
      </c>
      <c r="C10" s="299"/>
      <c r="D10" s="85">
        <f t="shared" si="0"/>
        <v>0</v>
      </c>
    </row>
    <row r="11" spans="1:4" ht="18.75" x14ac:dyDescent="0.3">
      <c r="A11" s="73" t="s">
        <v>7</v>
      </c>
      <c r="B11" s="85">
        <f>IF(Variables!$B$10='Salaries &amp; Staffing Patterns'!$B$1,'Salaries &amp; Staffing Patterns'!B26,IF(Variables!$B$10='Salaries &amp; Staffing Patterns'!$C$1,'Salaries &amp; Staffing Patterns'!C26,IF(Variables!$B$10='Salaries &amp; Staffing Patterns'!$D$1,'Salaries &amp; Staffing Patterns'!D26,0)))</f>
        <v>40000</v>
      </c>
      <c r="C11" s="299"/>
      <c r="D11" s="85">
        <f t="shared" si="0"/>
        <v>0</v>
      </c>
    </row>
    <row r="12" spans="1:4" ht="18.75" x14ac:dyDescent="0.3">
      <c r="A12" s="73" t="s">
        <v>8</v>
      </c>
      <c r="B12" s="85">
        <f>IF(Variables!$B$10='Salaries &amp; Staffing Patterns'!$B$1,'Salaries &amp; Staffing Patterns'!B27,IF(Variables!$B$10='Salaries &amp; Staffing Patterns'!$C$1,'Salaries &amp; Staffing Patterns'!C27,IF(Variables!$B$10='Salaries &amp; Staffing Patterns'!$D$1,'Salaries &amp; Staffing Patterns'!D27,0)))</f>
        <v>45000</v>
      </c>
      <c r="C12" s="299"/>
      <c r="D12" s="85">
        <f t="shared" si="0"/>
        <v>0</v>
      </c>
    </row>
    <row r="13" spans="1:4" ht="18.75" x14ac:dyDescent="0.3">
      <c r="A13" s="73" t="s">
        <v>9</v>
      </c>
      <c r="B13" s="85">
        <f>IF(Variables!$B$10='Salaries &amp; Staffing Patterns'!$B$1,'Salaries &amp; Staffing Patterns'!B28,IF(Variables!$B$10='Salaries &amp; Staffing Patterns'!$C$1,'Salaries &amp; Staffing Patterns'!C28,IF(Variables!$B$10='Salaries &amp; Staffing Patterns'!$D$1,'Salaries &amp; Staffing Patterns'!D28,0)))</f>
        <v>0</v>
      </c>
      <c r="C13" s="299"/>
      <c r="D13" s="85">
        <f t="shared" si="0"/>
        <v>0</v>
      </c>
    </row>
    <row r="14" spans="1:4" ht="18.75" x14ac:dyDescent="0.3">
      <c r="A14" s="73" t="s">
        <v>9</v>
      </c>
      <c r="B14" s="85"/>
      <c r="C14" s="299"/>
      <c r="D14" s="85">
        <f t="shared" si="0"/>
        <v>0</v>
      </c>
    </row>
    <row r="15" spans="1:4" ht="18.75" x14ac:dyDescent="0.3">
      <c r="A15" s="74"/>
      <c r="C15" s="142"/>
    </row>
    <row r="16" spans="1:4" ht="18.75" x14ac:dyDescent="0.3">
      <c r="A16" s="50" t="s">
        <v>10</v>
      </c>
      <c r="B16" s="75"/>
      <c r="C16" s="141">
        <f>SUMIF(C5:C14,"&gt;0")</f>
        <v>1</v>
      </c>
      <c r="D16" s="85">
        <f>SUMIF(D5:D14,"&gt;0")</f>
        <v>90000</v>
      </c>
    </row>
    <row r="17" spans="1:11" ht="18.75" x14ac:dyDescent="0.3">
      <c r="A17" s="76" t="s">
        <v>31</v>
      </c>
      <c r="B17" s="75"/>
      <c r="C17" s="143"/>
      <c r="D17" s="85"/>
    </row>
    <row r="18" spans="1:11" ht="18.75" x14ac:dyDescent="0.3">
      <c r="A18" s="48" t="s">
        <v>11</v>
      </c>
      <c r="B18" s="144">
        <v>7.6499999999999999E-2</v>
      </c>
      <c r="C18" s="143"/>
      <c r="D18" s="85">
        <f>D16*B18</f>
        <v>6885</v>
      </c>
    </row>
    <row r="19" spans="1:11" ht="18.75" x14ac:dyDescent="0.3">
      <c r="A19" s="48" t="s">
        <v>32</v>
      </c>
      <c r="B19" s="144">
        <f>IF(Variables!B11='Salaries &amp; Staffing Patterns'!B30,'Salaries &amp; Staffing Patterns'!B31,IF(Variables!B11='Salaries &amp; Staffing Patterns'!C30,'Salaries &amp; Staffing Patterns'!C31,IF(Variables!B11='Salaries &amp; Staffing Patterns'!D30,'Salaries &amp; Staffing Patterns'!D31,0)))</f>
        <v>0.10349999999999999</v>
      </c>
      <c r="C19" s="143"/>
      <c r="D19" s="85">
        <f>D16*B19</f>
        <v>9315</v>
      </c>
    </row>
    <row r="20" spans="1:11" ht="18.75" x14ac:dyDescent="0.3">
      <c r="A20" s="50" t="s">
        <v>141</v>
      </c>
      <c r="B20" s="43"/>
      <c r="C20" s="143"/>
      <c r="D20" s="85">
        <f>D16+D18+D19</f>
        <v>106200</v>
      </c>
    </row>
    <row r="21" spans="1:11" ht="18.75" x14ac:dyDescent="0.3">
      <c r="A21" s="139"/>
      <c r="B21" s="64"/>
      <c r="C21" s="77"/>
      <c r="D21" s="64"/>
    </row>
    <row r="22" spans="1:11" ht="18.75" x14ac:dyDescent="0.3">
      <c r="A22" s="45" t="s">
        <v>142</v>
      </c>
      <c r="B22" s="66" t="s">
        <v>144</v>
      </c>
      <c r="C22" s="145" t="s">
        <v>145</v>
      </c>
      <c r="D22" s="66" t="s">
        <v>55</v>
      </c>
    </row>
    <row r="23" spans="1:11" x14ac:dyDescent="0.25">
      <c r="A23" s="73" t="s">
        <v>103</v>
      </c>
      <c r="B23" s="43">
        <f>C16</f>
        <v>1</v>
      </c>
      <c r="C23" s="146">
        <f>'Non-personnel expenses'!B15</f>
        <v>5000</v>
      </c>
      <c r="D23" s="85">
        <f>B23*C23</f>
        <v>5000</v>
      </c>
    </row>
    <row r="24" spans="1:11" ht="30.75" x14ac:dyDescent="0.25">
      <c r="A24" s="73" t="s">
        <v>123</v>
      </c>
      <c r="B24" s="43">
        <f>J39</f>
        <v>0</v>
      </c>
      <c r="C24" s="146">
        <f>'Non-personnel expenses'!B16</f>
        <v>5000</v>
      </c>
      <c r="D24" s="85">
        <f t="shared" ref="D24:D25" si="1">B24*C24</f>
        <v>0</v>
      </c>
    </row>
    <row r="25" spans="1:11" x14ac:dyDescent="0.25">
      <c r="A25" s="73" t="s">
        <v>124</v>
      </c>
      <c r="B25" s="43">
        <f>J39</f>
        <v>0</v>
      </c>
      <c r="C25" s="146">
        <f>'Non-personnel expenses'!B17</f>
        <v>1000</v>
      </c>
      <c r="D25" s="85">
        <f t="shared" si="1"/>
        <v>0</v>
      </c>
    </row>
    <row r="26" spans="1:11" x14ac:dyDescent="0.25">
      <c r="A26" s="73" t="s">
        <v>122</v>
      </c>
      <c r="B26" s="300" t="s">
        <v>241</v>
      </c>
      <c r="C26" s="146">
        <f>'Non-personnel expenses'!B10</f>
        <v>3000</v>
      </c>
      <c r="D26" s="85" t="e">
        <f>IF(C8=1,0,B26*C26)</f>
        <v>#VALUE!</v>
      </c>
    </row>
    <row r="27" spans="1:11" x14ac:dyDescent="0.25">
      <c r="A27" s="73" t="s">
        <v>104</v>
      </c>
      <c r="B27" s="43">
        <f>K39</f>
        <v>0</v>
      </c>
      <c r="C27" s="146">
        <f>'Non-personnel expenses'!B18</f>
        <v>75</v>
      </c>
      <c r="D27" s="85">
        <f>B27*C27</f>
        <v>0</v>
      </c>
    </row>
    <row r="28" spans="1:11" ht="18.75" x14ac:dyDescent="0.3">
      <c r="A28" s="140" t="s">
        <v>143</v>
      </c>
      <c r="B28" s="43"/>
      <c r="C28" s="143"/>
      <c r="D28" s="85">
        <f>SUMIF(D23:D27,"&gt;0")</f>
        <v>5000</v>
      </c>
    </row>
    <row r="29" spans="1:11" ht="23.25" x14ac:dyDescent="0.35">
      <c r="A29" s="53"/>
      <c r="C29" s="3"/>
    </row>
    <row r="30" spans="1:11" ht="23.25" x14ac:dyDescent="0.35">
      <c r="A30" s="53"/>
      <c r="C30" s="3"/>
    </row>
    <row r="31" spans="1:11" ht="24" thickBot="1" x14ac:dyDescent="0.4">
      <c r="A31" s="53"/>
      <c r="C31" s="297" t="s">
        <v>204</v>
      </c>
      <c r="E31" s="297" t="s">
        <v>204</v>
      </c>
      <c r="G31" s="297" t="s">
        <v>204</v>
      </c>
    </row>
    <row r="32" spans="1:11" ht="16.5" thickBot="1" x14ac:dyDescent="0.3">
      <c r="C32" s="343" t="s">
        <v>148</v>
      </c>
      <c r="D32" s="344"/>
      <c r="E32" s="163"/>
      <c r="F32" s="164" t="s">
        <v>146</v>
      </c>
      <c r="G32" s="208"/>
      <c r="H32" s="209" t="s">
        <v>147</v>
      </c>
      <c r="J32" s="57" t="s">
        <v>154</v>
      </c>
      <c r="K32" s="57" t="s">
        <v>155</v>
      </c>
    </row>
    <row r="33" spans="1:11" ht="18" x14ac:dyDescent="0.25">
      <c r="A33" s="54" t="s">
        <v>52</v>
      </c>
      <c r="B33" s="6"/>
      <c r="C33" s="178" t="s">
        <v>48</v>
      </c>
      <c r="D33" s="179" t="s">
        <v>47</v>
      </c>
      <c r="E33" s="165" t="s">
        <v>48</v>
      </c>
      <c r="F33" s="147" t="s">
        <v>47</v>
      </c>
      <c r="G33" s="210" t="s">
        <v>48</v>
      </c>
      <c r="H33" s="211" t="s">
        <v>47</v>
      </c>
    </row>
    <row r="34" spans="1:11" x14ac:dyDescent="0.25">
      <c r="A34" s="8"/>
      <c r="B34" s="10" t="s">
        <v>49</v>
      </c>
      <c r="C34" s="298"/>
      <c r="D34" s="181">
        <f>C34*8</f>
        <v>0</v>
      </c>
      <c r="E34" s="298"/>
      <c r="F34" s="148">
        <f>E34*8</f>
        <v>0</v>
      </c>
      <c r="G34" s="298"/>
      <c r="H34" s="213">
        <f>G34*8</f>
        <v>0</v>
      </c>
      <c r="J34">
        <f>C34+E34+G34</f>
        <v>0</v>
      </c>
      <c r="K34">
        <f>D34+F34+H34</f>
        <v>0</v>
      </c>
    </row>
    <row r="35" spans="1:11" x14ac:dyDescent="0.25">
      <c r="A35" s="8"/>
      <c r="B35" s="10" t="s">
        <v>50</v>
      </c>
      <c r="C35" s="298"/>
      <c r="D35" s="181">
        <f>C35*8</f>
        <v>0</v>
      </c>
      <c r="E35" s="298"/>
      <c r="F35" s="148">
        <f>E35*8</f>
        <v>0</v>
      </c>
      <c r="G35" s="298"/>
      <c r="H35" s="213">
        <f>G35*8</f>
        <v>0</v>
      </c>
      <c r="J35">
        <f t="shared" ref="J35:K38" si="2">C35+E35+G35</f>
        <v>0</v>
      </c>
      <c r="K35">
        <f t="shared" si="2"/>
        <v>0</v>
      </c>
    </row>
    <row r="36" spans="1:11" x14ac:dyDescent="0.25">
      <c r="A36" s="8"/>
      <c r="B36" s="10" t="s">
        <v>51</v>
      </c>
      <c r="C36" s="298"/>
      <c r="D36" s="181">
        <f>C36*8</f>
        <v>0</v>
      </c>
      <c r="E36" s="298"/>
      <c r="F36" s="148">
        <f>E36*8</f>
        <v>0</v>
      </c>
      <c r="G36" s="298"/>
      <c r="H36" s="213">
        <f>G36*8</f>
        <v>0</v>
      </c>
      <c r="J36">
        <f t="shared" si="2"/>
        <v>0</v>
      </c>
      <c r="K36">
        <f t="shared" si="2"/>
        <v>0</v>
      </c>
    </row>
    <row r="37" spans="1:11" x14ac:dyDescent="0.25">
      <c r="A37" s="8"/>
      <c r="B37" s="10" t="s">
        <v>54</v>
      </c>
      <c r="C37" s="298"/>
      <c r="D37" s="181">
        <f>C37*17</f>
        <v>0</v>
      </c>
      <c r="E37" s="298"/>
      <c r="F37" s="148">
        <f>E37*17</f>
        <v>0</v>
      </c>
      <c r="G37" s="298"/>
      <c r="H37" s="213">
        <f>G37*17</f>
        <v>0</v>
      </c>
      <c r="J37">
        <f t="shared" si="2"/>
        <v>0</v>
      </c>
      <c r="K37">
        <f t="shared" si="2"/>
        <v>0</v>
      </c>
    </row>
    <row r="38" spans="1:11" x14ac:dyDescent="0.25">
      <c r="A38" s="8"/>
      <c r="B38" s="10" t="s">
        <v>53</v>
      </c>
      <c r="C38" s="298"/>
      <c r="D38" s="181">
        <f>C38*17</f>
        <v>0</v>
      </c>
      <c r="E38" s="298"/>
      <c r="F38" s="148">
        <f>E38*17</f>
        <v>0</v>
      </c>
      <c r="G38" s="298"/>
      <c r="H38" s="213">
        <f>G38*17</f>
        <v>0</v>
      </c>
      <c r="J38">
        <f t="shared" si="2"/>
        <v>0</v>
      </c>
      <c r="K38">
        <f t="shared" si="2"/>
        <v>0</v>
      </c>
    </row>
    <row r="39" spans="1:11" ht="18.75" x14ac:dyDescent="0.3">
      <c r="A39" s="3"/>
      <c r="B39" s="9"/>
      <c r="C39" s="182">
        <f>SUM(C34:C38)</f>
        <v>0</v>
      </c>
      <c r="D39" s="183">
        <f t="shared" ref="D39:H39" si="3">SUM(D34:D38)</f>
        <v>0</v>
      </c>
      <c r="E39" s="166">
        <f t="shared" si="3"/>
        <v>0</v>
      </c>
      <c r="F39" s="149">
        <f t="shared" si="3"/>
        <v>0</v>
      </c>
      <c r="G39" s="214">
        <f t="shared" si="3"/>
        <v>0</v>
      </c>
      <c r="H39" s="215">
        <f t="shared" si="3"/>
        <v>0</v>
      </c>
      <c r="J39" s="57">
        <f>SUM(J34:J38)</f>
        <v>0</v>
      </c>
      <c r="K39" s="57">
        <f>SUM(K34:K38)</f>
        <v>0</v>
      </c>
    </row>
    <row r="40" spans="1:11" ht="18" x14ac:dyDescent="0.25">
      <c r="A40" s="54" t="s">
        <v>12</v>
      </c>
      <c r="B40" s="6"/>
      <c r="C40" s="184"/>
      <c r="D40" s="185"/>
      <c r="E40" s="167"/>
      <c r="F40" s="168"/>
      <c r="G40" s="216"/>
      <c r="H40" s="217"/>
    </row>
    <row r="41" spans="1:11" x14ac:dyDescent="0.25">
      <c r="A41" s="45" t="s">
        <v>0</v>
      </c>
      <c r="B41" s="159" t="s">
        <v>30</v>
      </c>
      <c r="C41" s="186" t="s">
        <v>29</v>
      </c>
      <c r="D41" s="187" t="s">
        <v>55</v>
      </c>
      <c r="E41" s="150" t="s">
        <v>29</v>
      </c>
      <c r="F41" s="151" t="s">
        <v>55</v>
      </c>
      <c r="G41" s="218" t="s">
        <v>29</v>
      </c>
      <c r="H41" s="219" t="s">
        <v>55</v>
      </c>
    </row>
    <row r="42" spans="1:11" x14ac:dyDescent="0.25">
      <c r="A42" s="46" t="s">
        <v>13</v>
      </c>
      <c r="B42" s="239">
        <f>IF(Variables!$B$10='Salaries &amp; Staffing Patterns'!$B$1,'Salaries &amp; Staffing Patterns'!B2,IF(Variables!$B$10='Salaries &amp; Staffing Patterns'!$C$1,'Salaries &amp; Staffing Patterns'!C2,IF(Variables!$B$10='Salaries &amp; Staffing Patterns'!$D$1,'Salaries &amp; Staffing Patterns'!D2,0)))</f>
        <v>80000</v>
      </c>
      <c r="C42" s="188">
        <f>IF(C39=0,0,1)</f>
        <v>0</v>
      </c>
      <c r="D42" s="189">
        <f>B42*C42</f>
        <v>0</v>
      </c>
      <c r="E42" s="176">
        <f>IF(E39=0,0,1)</f>
        <v>0</v>
      </c>
      <c r="F42" s="153">
        <f>B42*E42</f>
        <v>0</v>
      </c>
      <c r="G42" s="220">
        <f>IF(G39=0,0,1)</f>
        <v>0</v>
      </c>
      <c r="H42" s="221">
        <f>B42*G42</f>
        <v>0</v>
      </c>
    </row>
    <row r="43" spans="1:11" x14ac:dyDescent="0.25">
      <c r="A43" s="46" t="s">
        <v>14</v>
      </c>
      <c r="B43" s="239">
        <f>IF(Variables!$B$10='Salaries &amp; Staffing Patterns'!$B$1,'Salaries &amp; Staffing Patterns'!B3,IF(Variables!$B$10='Salaries &amp; Staffing Patterns'!$C$1,'Salaries &amp; Staffing Patterns'!C3,IF(Variables!$B$10='Salaries &amp; Staffing Patterns'!$D$1,'Salaries &amp; Staffing Patterns'!D3,0)))</f>
        <v>55000</v>
      </c>
      <c r="C43" s="188">
        <f>IF(C39=0,0,1)</f>
        <v>0</v>
      </c>
      <c r="D43" s="189">
        <f t="shared" ref="D43:D56" si="4">B43*C43</f>
        <v>0</v>
      </c>
      <c r="E43" s="176">
        <f>IF(E39=0,0,1)</f>
        <v>0</v>
      </c>
      <c r="F43" s="153">
        <f t="shared" ref="F43:F56" si="5">B43*E43</f>
        <v>0</v>
      </c>
      <c r="G43" s="220">
        <f>IF(G39=0,0,1)</f>
        <v>0</v>
      </c>
      <c r="H43" s="221">
        <f t="shared" ref="H43:H56" si="6">B43*G43</f>
        <v>0</v>
      </c>
    </row>
    <row r="44" spans="1:11" x14ac:dyDescent="0.25">
      <c r="A44" s="46" t="s">
        <v>191</v>
      </c>
      <c r="B44" s="239">
        <f>IF(Variables!$B$10='Salaries &amp; Staffing Patterns'!$B$1,'Salaries &amp; Staffing Patterns'!B4,IF(Variables!$B$10='Salaries &amp; Staffing Patterns'!$C$1,'Salaries &amp; Staffing Patterns'!C4,IF(Variables!$B$10='Salaries &amp; Staffing Patterns'!$D$1,'Salaries &amp; Staffing Patterns'!D4,0)))</f>
        <v>47000</v>
      </c>
      <c r="C44" s="188">
        <f>C37+C38</f>
        <v>0</v>
      </c>
      <c r="D44" s="189">
        <f t="shared" si="4"/>
        <v>0</v>
      </c>
      <c r="E44" s="176">
        <f>E37+E38</f>
        <v>0</v>
      </c>
      <c r="F44" s="153">
        <f t="shared" si="5"/>
        <v>0</v>
      </c>
      <c r="G44" s="220">
        <f>G37+G38</f>
        <v>0</v>
      </c>
      <c r="H44" s="221">
        <f t="shared" si="6"/>
        <v>0</v>
      </c>
    </row>
    <row r="45" spans="1:11" x14ac:dyDescent="0.25">
      <c r="A45" s="47" t="s">
        <v>192</v>
      </c>
      <c r="B45" s="239">
        <f>IF(Variables!$B$10='Salaries &amp; Staffing Patterns'!$B$1,'Salaries &amp; Staffing Patterns'!B5,IF(Variables!$B$10='Salaries &amp; Staffing Patterns'!$C$1,'Salaries &amp; Staffing Patterns'!C5,IF(Variables!$B$10='Salaries &amp; Staffing Patterns'!$D$1,'Salaries &amp; Staffing Patterns'!D5,0)))</f>
        <v>42000</v>
      </c>
      <c r="C45" s="188">
        <f>C34+C35+C36</f>
        <v>0</v>
      </c>
      <c r="D45" s="189">
        <f t="shared" si="4"/>
        <v>0</v>
      </c>
      <c r="E45" s="176">
        <f>E34+E35+E36</f>
        <v>0</v>
      </c>
      <c r="F45" s="153">
        <f t="shared" si="5"/>
        <v>0</v>
      </c>
      <c r="G45" s="220">
        <f>G34+G35+G36</f>
        <v>0</v>
      </c>
      <c r="H45" s="221">
        <f t="shared" si="6"/>
        <v>0</v>
      </c>
    </row>
    <row r="46" spans="1:11" x14ac:dyDescent="0.25">
      <c r="A46" s="48" t="s">
        <v>17</v>
      </c>
      <c r="B46" s="239">
        <f>IF(Variables!$B$10='Salaries &amp; Staffing Patterns'!$B$1,'Salaries &amp; Staffing Patterns'!B6,IF(Variables!$B$10='Salaries &amp; Staffing Patterns'!$C$1,'Salaries &amp; Staffing Patterns'!C6,IF(Variables!$B$10='Salaries &amp; Staffing Patterns'!$D$1,'Salaries &amp; Staffing Patterns'!D6,0)))</f>
        <v>35000</v>
      </c>
      <c r="C46" s="188">
        <f>C34+C35+C36+C37+C38</f>
        <v>0</v>
      </c>
      <c r="D46" s="189">
        <f t="shared" si="4"/>
        <v>0</v>
      </c>
      <c r="E46" s="176">
        <f>E34+E35+E36+E37+E38</f>
        <v>0</v>
      </c>
      <c r="F46" s="153">
        <f t="shared" si="5"/>
        <v>0</v>
      </c>
      <c r="G46" s="220">
        <f>G34+G35+G36+G37+G38</f>
        <v>0</v>
      </c>
      <c r="H46" s="221">
        <f t="shared" si="6"/>
        <v>0</v>
      </c>
    </row>
    <row r="47" spans="1:11" x14ac:dyDescent="0.25">
      <c r="A47" s="48" t="s">
        <v>18</v>
      </c>
      <c r="B47" s="239">
        <f>IF(Variables!$B$10='Salaries &amp; Staffing Patterns'!$B$1,'Salaries &amp; Staffing Patterns'!B7,IF(Variables!$B$10='Salaries &amp; Staffing Patterns'!$C$1,'Salaries &amp; Staffing Patterns'!C7,IF(Variables!$B$10='Salaries &amp; Staffing Patterns'!$D$1,'Salaries &amp; Staffing Patterns'!D7,0)))</f>
        <v>29250</v>
      </c>
      <c r="C47" s="188">
        <f>C34+C35+C36+C37+C38</f>
        <v>0</v>
      </c>
      <c r="D47" s="189">
        <f t="shared" si="4"/>
        <v>0</v>
      </c>
      <c r="E47" s="176">
        <f>E34+E35+E36+E37+E38</f>
        <v>0</v>
      </c>
      <c r="F47" s="153">
        <f t="shared" si="5"/>
        <v>0</v>
      </c>
      <c r="G47" s="220">
        <f>G34+G35+G36+G37+G38</f>
        <v>0</v>
      </c>
      <c r="H47" s="221">
        <f t="shared" si="6"/>
        <v>0</v>
      </c>
    </row>
    <row r="48" spans="1:11" x14ac:dyDescent="0.25">
      <c r="A48" s="47" t="s">
        <v>19</v>
      </c>
      <c r="B48" s="239">
        <f>IF(Variables!$B$10='Salaries &amp; Staffing Patterns'!$B$1,'Salaries &amp; Staffing Patterns'!B8,IF(Variables!$B$10='Salaries &amp; Staffing Patterns'!$C$1,'Salaries &amp; Staffing Patterns'!C8,IF(Variables!$B$10='Salaries &amp; Staffing Patterns'!$D$1,'Salaries &amp; Staffing Patterns'!D8,0)))</f>
        <v>47000</v>
      </c>
      <c r="C48" s="188">
        <f>(C34+C35+C36+C37+C38)/5</f>
        <v>0</v>
      </c>
      <c r="D48" s="189">
        <f t="shared" si="4"/>
        <v>0</v>
      </c>
      <c r="E48" s="176">
        <f>(E34+E35+E36+E37+E38)/5</f>
        <v>0</v>
      </c>
      <c r="F48" s="153">
        <f t="shared" si="5"/>
        <v>0</v>
      </c>
      <c r="G48" s="220">
        <f>(G34+G35+G36+G37+G38)/5</f>
        <v>0</v>
      </c>
      <c r="H48" s="221">
        <f t="shared" si="6"/>
        <v>0</v>
      </c>
    </row>
    <row r="49" spans="1:8" x14ac:dyDescent="0.25">
      <c r="A49" s="47" t="s">
        <v>20</v>
      </c>
      <c r="B49" s="239">
        <f>IF(Variables!$B$10='Salaries &amp; Staffing Patterns'!$B$1,'Salaries &amp; Staffing Patterns'!B9,IF(Variables!$B$10='Salaries &amp; Staffing Patterns'!$C$1,'Salaries &amp; Staffing Patterns'!C9,IF(Variables!$B$10='Salaries &amp; Staffing Patterns'!$D$1,'Salaries &amp; Staffing Patterns'!D9,0)))</f>
        <v>32000</v>
      </c>
      <c r="C49" s="188">
        <f>(C34+C35+C36+C37+C38)/5</f>
        <v>0</v>
      </c>
      <c r="D49" s="189">
        <f t="shared" si="4"/>
        <v>0</v>
      </c>
      <c r="E49" s="176">
        <f>(E34+E35+E36+E37+E38)/5</f>
        <v>0</v>
      </c>
      <c r="F49" s="153">
        <f t="shared" si="5"/>
        <v>0</v>
      </c>
      <c r="G49" s="220">
        <f>(G34+G35+G36+G37+G38)/5</f>
        <v>0</v>
      </c>
      <c r="H49" s="221">
        <f t="shared" si="6"/>
        <v>0</v>
      </c>
    </row>
    <row r="50" spans="1:8" x14ac:dyDescent="0.25">
      <c r="A50" s="46" t="s">
        <v>21</v>
      </c>
      <c r="B50" s="239">
        <f>IF(Variables!$B$10='Salaries &amp; Staffing Patterns'!$B$1,'Salaries &amp; Staffing Patterns'!B10,IF(Variables!$B$10='Salaries &amp; Staffing Patterns'!$C$1,'Salaries &amp; Staffing Patterns'!C10,IF(Variables!$B$10='Salaries &amp; Staffing Patterns'!$D$1,'Salaries &amp; Staffing Patterns'!D10,0)))</f>
        <v>40000</v>
      </c>
      <c r="C50" s="233">
        <f>(D34+D35+D36+D37+D38)/34</f>
        <v>0</v>
      </c>
      <c r="D50" s="189">
        <f t="shared" si="4"/>
        <v>0</v>
      </c>
      <c r="E50" s="234">
        <f>(F34+F35+F36+F37+F38)/34</f>
        <v>0</v>
      </c>
      <c r="F50" s="153">
        <f t="shared" si="5"/>
        <v>0</v>
      </c>
      <c r="G50" s="235">
        <f>(H34+H35+H36+H37+H38)/34</f>
        <v>0</v>
      </c>
      <c r="H50" s="221">
        <f t="shared" si="6"/>
        <v>0</v>
      </c>
    </row>
    <row r="51" spans="1:8" x14ac:dyDescent="0.25">
      <c r="A51" s="46" t="s">
        <v>22</v>
      </c>
      <c r="B51" s="239">
        <f>IF(Variables!$B$10='Salaries &amp; Staffing Patterns'!$B$1,'Salaries &amp; Staffing Patterns'!B11,IF(Variables!$B$10='Salaries &amp; Staffing Patterns'!$C$1,'Salaries &amp; Staffing Patterns'!C11,IF(Variables!$B$10='Salaries &amp; Staffing Patterns'!$D$1,'Salaries &amp; Staffing Patterns'!D11,0)))</f>
        <v>48000</v>
      </c>
      <c r="C51" s="188">
        <f>IF(C39=0,0,1)</f>
        <v>0</v>
      </c>
      <c r="D51" s="189">
        <f t="shared" si="4"/>
        <v>0</v>
      </c>
      <c r="E51" s="176">
        <f>IF(E39=0,0,1)</f>
        <v>0</v>
      </c>
      <c r="F51" s="153">
        <f t="shared" si="5"/>
        <v>0</v>
      </c>
      <c r="G51" s="220">
        <f>IF(G39=0,0,1)</f>
        <v>0</v>
      </c>
      <c r="H51" s="221">
        <f t="shared" si="6"/>
        <v>0</v>
      </c>
    </row>
    <row r="52" spans="1:8" x14ac:dyDescent="0.25">
      <c r="A52" s="48" t="s">
        <v>24</v>
      </c>
      <c r="B52" s="239">
        <f>IF(Variables!$B$10='Salaries &amp; Staffing Patterns'!$B$1,'Salaries &amp; Staffing Patterns'!B13,IF(Variables!$B$10='Salaries &amp; Staffing Patterns'!$C$1,'Salaries &amp; Staffing Patterns'!C13,IF(Variables!$B$10='Salaries &amp; Staffing Patterns'!$D$1,'Salaries &amp; Staffing Patterns'!D13,0)))</f>
        <v>28000</v>
      </c>
      <c r="C52" s="188">
        <v>1</v>
      </c>
      <c r="D52" s="189">
        <f t="shared" si="4"/>
        <v>28000</v>
      </c>
      <c r="E52" s="176">
        <f>IF($E$38=0,0,1)</f>
        <v>0</v>
      </c>
      <c r="F52" s="153">
        <f t="shared" si="5"/>
        <v>0</v>
      </c>
      <c r="G52" s="220">
        <f>IF($E$38=0,0,1)</f>
        <v>0</v>
      </c>
      <c r="H52" s="221">
        <f t="shared" si="6"/>
        <v>0</v>
      </c>
    </row>
    <row r="53" spans="1:8" x14ac:dyDescent="0.25">
      <c r="A53" s="49" t="s">
        <v>25</v>
      </c>
      <c r="B53" s="239">
        <f>IF(Variables!$B$10='Salaries &amp; Staffing Patterns'!$B$1,'Salaries &amp; Staffing Patterns'!B14,IF(Variables!$B$10='Salaries &amp; Staffing Patterns'!$C$1,'Salaries &amp; Staffing Patterns'!C14,IF(Variables!$B$10='Salaries &amp; Staffing Patterns'!$D$1,'Salaries &amp; Staffing Patterns'!D14,0)))</f>
        <v>22000</v>
      </c>
      <c r="C53" s="188">
        <v>1</v>
      </c>
      <c r="D53" s="189">
        <f t="shared" si="4"/>
        <v>22000</v>
      </c>
      <c r="E53" s="176">
        <f t="shared" ref="E53:E55" si="7">IF($E$38=0,0,1)</f>
        <v>0</v>
      </c>
      <c r="F53" s="153">
        <f t="shared" si="5"/>
        <v>0</v>
      </c>
      <c r="G53" s="220">
        <f t="shared" ref="G53:G55" si="8">IF($E$38=0,0,1)</f>
        <v>0</v>
      </c>
      <c r="H53" s="221">
        <f t="shared" si="6"/>
        <v>0</v>
      </c>
    </row>
    <row r="54" spans="1:8" x14ac:dyDescent="0.25">
      <c r="A54" s="48" t="s">
        <v>26</v>
      </c>
      <c r="B54" s="239">
        <f>IF(Variables!$B$10='Salaries &amp; Staffing Patterns'!$B$1,'Salaries &amp; Staffing Patterns'!B15,IF(Variables!$B$10='Salaries &amp; Staffing Patterns'!$C$1,'Salaries &amp; Staffing Patterns'!C15,IF(Variables!$B$10='Salaries &amp; Staffing Patterns'!$D$1,'Salaries &amp; Staffing Patterns'!D15,0)))</f>
        <v>40000</v>
      </c>
      <c r="C54" s="188">
        <v>1</v>
      </c>
      <c r="D54" s="189">
        <f t="shared" si="4"/>
        <v>40000</v>
      </c>
      <c r="E54" s="176">
        <f t="shared" si="7"/>
        <v>0</v>
      </c>
      <c r="F54" s="153">
        <f t="shared" si="5"/>
        <v>0</v>
      </c>
      <c r="G54" s="220">
        <f t="shared" si="8"/>
        <v>0</v>
      </c>
      <c r="H54" s="221">
        <f t="shared" si="6"/>
        <v>0</v>
      </c>
    </row>
    <row r="55" spans="1:8" x14ac:dyDescent="0.25">
      <c r="A55" s="48" t="s">
        <v>27</v>
      </c>
      <c r="B55" s="239">
        <f>IF(Variables!$B$10='Salaries &amp; Staffing Patterns'!$B$1,'Salaries &amp; Staffing Patterns'!B16,IF(Variables!$B$10='Salaries &amp; Staffing Patterns'!$C$1,'Salaries &amp; Staffing Patterns'!C16,IF(Variables!$B$10='Salaries &amp; Staffing Patterns'!$D$1,'Salaries &amp; Staffing Patterns'!D16,0)))</f>
        <v>28500</v>
      </c>
      <c r="C55" s="188">
        <v>1</v>
      </c>
      <c r="D55" s="189">
        <f t="shared" si="4"/>
        <v>28500</v>
      </c>
      <c r="E55" s="176">
        <f t="shared" si="7"/>
        <v>0</v>
      </c>
      <c r="F55" s="153">
        <f t="shared" si="5"/>
        <v>0</v>
      </c>
      <c r="G55" s="220">
        <f t="shared" si="8"/>
        <v>0</v>
      </c>
      <c r="H55" s="221">
        <f t="shared" si="6"/>
        <v>0</v>
      </c>
    </row>
    <row r="56" spans="1:8" x14ac:dyDescent="0.25">
      <c r="A56" s="48" t="s">
        <v>28</v>
      </c>
      <c r="B56" s="239">
        <f>IF(Variables!$B$10='Salaries &amp; Staffing Patterns'!$B$1,'Salaries &amp; Staffing Patterns'!B17,IF(Variables!$B$10='Salaries &amp; Staffing Patterns'!$C$1,'Salaries &amp; Staffing Patterns'!C17,IF(Variables!$B$10='Salaries &amp; Staffing Patterns'!$D$1,'Salaries &amp; Staffing Patterns'!D17,0)))</f>
        <v>0</v>
      </c>
      <c r="C56" s="180"/>
      <c r="D56" s="189">
        <f t="shared" si="4"/>
        <v>0</v>
      </c>
      <c r="E56" s="177"/>
      <c r="F56" s="153">
        <f t="shared" si="5"/>
        <v>0</v>
      </c>
      <c r="G56" s="212"/>
      <c r="H56" s="221">
        <f t="shared" si="6"/>
        <v>0</v>
      </c>
    </row>
    <row r="57" spans="1:8" x14ac:dyDescent="0.25">
      <c r="A57" s="50" t="s">
        <v>10</v>
      </c>
      <c r="B57" s="10"/>
      <c r="C57" s="274">
        <f t="shared" ref="C57:H57" si="9">SUM(C42:C56)</f>
        <v>4</v>
      </c>
      <c r="D57" s="189">
        <f t="shared" si="9"/>
        <v>118500</v>
      </c>
      <c r="E57" s="275">
        <f t="shared" si="9"/>
        <v>0</v>
      </c>
      <c r="F57" s="153">
        <f t="shared" si="9"/>
        <v>0</v>
      </c>
      <c r="G57" s="276">
        <f t="shared" si="9"/>
        <v>0</v>
      </c>
      <c r="H57" s="221">
        <f t="shared" si="9"/>
        <v>0</v>
      </c>
    </row>
    <row r="58" spans="1:8" x14ac:dyDescent="0.25">
      <c r="A58" s="76" t="s">
        <v>31</v>
      </c>
      <c r="B58" s="10"/>
      <c r="C58" s="180"/>
      <c r="D58" s="189"/>
      <c r="E58" s="152"/>
      <c r="F58" s="153"/>
      <c r="G58" s="212"/>
      <c r="H58" s="221"/>
    </row>
    <row r="59" spans="1:8" x14ac:dyDescent="0.25">
      <c r="A59" s="48" t="s">
        <v>11</v>
      </c>
      <c r="B59" s="160">
        <v>7.6499999999999999E-2</v>
      </c>
      <c r="C59" s="180"/>
      <c r="D59" s="189">
        <f>B59*D57</f>
        <v>9065.25</v>
      </c>
      <c r="E59" s="152"/>
      <c r="F59" s="153">
        <f>B59*F57</f>
        <v>0</v>
      </c>
      <c r="G59" s="212"/>
      <c r="H59" s="221">
        <f>B59*H57</f>
        <v>0</v>
      </c>
    </row>
    <row r="60" spans="1:8" x14ac:dyDescent="0.25">
      <c r="A60" s="48" t="s">
        <v>32</v>
      </c>
      <c r="B60" s="160">
        <f>IF(Variables!B11='Salaries &amp; Staffing Patterns'!B30,'Salaries &amp; Staffing Patterns'!B31,IF(Variables!B11='Salaries &amp; Staffing Patterns'!C30,'Salaries &amp; Staffing Patterns'!C31,IF(Variables!B11='Salaries &amp; Staffing Patterns'!D30,'Salaries &amp; Staffing Patterns'!D31,0)))</f>
        <v>0.10349999999999999</v>
      </c>
      <c r="C60" s="180"/>
      <c r="D60" s="189">
        <f>B60*D57</f>
        <v>12264.75</v>
      </c>
      <c r="E60" s="152"/>
      <c r="F60" s="153">
        <f>B60*F57</f>
        <v>0</v>
      </c>
      <c r="G60" s="212"/>
      <c r="H60" s="221">
        <f>B60*H57</f>
        <v>0</v>
      </c>
    </row>
    <row r="61" spans="1:8" x14ac:dyDescent="0.25">
      <c r="A61" s="5"/>
      <c r="B61" s="161"/>
      <c r="C61" s="190"/>
      <c r="D61" s="191"/>
      <c r="E61" s="169"/>
      <c r="F61" s="154"/>
      <c r="G61" s="222"/>
      <c r="H61" s="223"/>
    </row>
    <row r="62" spans="1:8" x14ac:dyDescent="0.25">
      <c r="A62" s="66" t="s">
        <v>33</v>
      </c>
      <c r="B62" s="162"/>
      <c r="C62" s="192"/>
      <c r="D62" s="193">
        <f>D57+D59+D60</f>
        <v>139830</v>
      </c>
      <c r="E62" s="157"/>
      <c r="F62" s="155">
        <f>F57+F59+F60</f>
        <v>0</v>
      </c>
      <c r="G62" s="224"/>
      <c r="H62" s="225">
        <f>H57+H59+H60</f>
        <v>0</v>
      </c>
    </row>
    <row r="63" spans="1:8" x14ac:dyDescent="0.25">
      <c r="C63" s="190"/>
      <c r="D63" s="191"/>
      <c r="E63" s="169"/>
      <c r="F63" s="156"/>
      <c r="G63" s="222"/>
      <c r="H63" s="226"/>
    </row>
    <row r="64" spans="1:8" x14ac:dyDescent="0.25">
      <c r="A64" s="67" t="s">
        <v>34</v>
      </c>
      <c r="C64" s="192"/>
      <c r="D64" s="194"/>
      <c r="E64" s="157"/>
      <c r="F64" s="158"/>
      <c r="G64" s="224"/>
      <c r="H64" s="227"/>
    </row>
    <row r="65" spans="1:8" x14ac:dyDescent="0.25">
      <c r="A65" s="68" t="s">
        <v>35</v>
      </c>
      <c r="C65" s="192"/>
      <c r="D65" s="194">
        <f>'Non-personnel expenses'!B2*D39</f>
        <v>0</v>
      </c>
      <c r="E65" s="157"/>
      <c r="F65" s="158">
        <f>'Non-personnel expenses'!B2*F39</f>
        <v>0</v>
      </c>
      <c r="G65" s="224"/>
      <c r="H65" s="247">
        <f>'Non-personnel expenses'!B2*H39</f>
        <v>0</v>
      </c>
    </row>
    <row r="66" spans="1:8" x14ac:dyDescent="0.25">
      <c r="A66" s="68" t="s">
        <v>36</v>
      </c>
      <c r="C66" s="192"/>
      <c r="D66" s="194">
        <f>'Non-personnel expenses'!B3*D39</f>
        <v>0</v>
      </c>
      <c r="E66" s="157"/>
      <c r="F66" s="158">
        <f>'Non-personnel expenses'!B3*F39</f>
        <v>0</v>
      </c>
      <c r="G66" s="224"/>
      <c r="H66" s="247">
        <f>'Non-personnel expenses'!B3*H39</f>
        <v>0</v>
      </c>
    </row>
    <row r="67" spans="1:8" x14ac:dyDescent="0.25">
      <c r="A67" s="68" t="s">
        <v>37</v>
      </c>
      <c r="C67" s="192"/>
      <c r="D67" s="194">
        <f>'Non-personnel expenses'!B4*D39</f>
        <v>0</v>
      </c>
      <c r="E67" s="157"/>
      <c r="F67" s="158">
        <f>'Non-personnel expenses'!B4*F39</f>
        <v>0</v>
      </c>
      <c r="G67" s="224"/>
      <c r="H67" s="247">
        <f>'Non-personnel expenses'!B4*H39</f>
        <v>0</v>
      </c>
    </row>
    <row r="68" spans="1:8" x14ac:dyDescent="0.25">
      <c r="A68" s="68" t="s">
        <v>38</v>
      </c>
      <c r="C68" s="192"/>
      <c r="D68" s="194">
        <f>'Non-personnel expenses'!B5*D39</f>
        <v>0</v>
      </c>
      <c r="E68" s="157"/>
      <c r="F68" s="158">
        <f>'Non-personnel expenses'!B5*F39</f>
        <v>0</v>
      </c>
      <c r="G68" s="224"/>
      <c r="H68" s="247">
        <f>'Non-personnel expenses'!B5*H39</f>
        <v>0</v>
      </c>
    </row>
    <row r="69" spans="1:8" x14ac:dyDescent="0.25">
      <c r="A69" s="68" t="s">
        <v>39</v>
      </c>
      <c r="C69" s="192"/>
      <c r="D69" s="194">
        <f>(C39*'Non-personnel expenses'!E6*'Non-personnel expenses'!B6)</f>
        <v>0</v>
      </c>
      <c r="E69" s="157"/>
      <c r="F69" s="158">
        <f>(E39*'Non-personnel expenses'!E6*'Non-personnel expenses'!B6)</f>
        <v>0</v>
      </c>
      <c r="G69" s="224"/>
      <c r="H69" s="247">
        <f>(G39*'Non-personnel expenses'!E6*'Non-personnel expenses'!B6)</f>
        <v>0</v>
      </c>
    </row>
    <row r="70" spans="1:8" x14ac:dyDescent="0.25">
      <c r="A70" s="68" t="s">
        <v>40</v>
      </c>
      <c r="C70" s="192"/>
      <c r="D70" s="194">
        <f>(C39*'Non-personnel expenses'!E6*'Non-personnel expenses'!B7)+'Non-personnel expenses'!B19</f>
        <v>1440</v>
      </c>
      <c r="E70" s="157"/>
      <c r="F70" s="158">
        <f>IF(E39=0,0,(E39*'Non-personnel expenses'!$E$6*'Non-personnel expenses'!$B$7)+'Non-personnel expenses'!$B$19)</f>
        <v>0</v>
      </c>
      <c r="G70" s="224"/>
      <c r="H70" s="247">
        <f>IF(G39=0,0,(G39*'Non-personnel expenses'!$E$6*'Non-personnel expenses'!$B$7)+'Non-personnel expenses'!$B$19)</f>
        <v>0</v>
      </c>
    </row>
    <row r="71" spans="1:8" x14ac:dyDescent="0.25">
      <c r="A71" s="68" t="s">
        <v>41</v>
      </c>
      <c r="C71" s="192"/>
      <c r="D71" s="194">
        <f>(C39*'Non-personnel expenses'!E6)*'Non-personnel expenses'!B8</f>
        <v>0</v>
      </c>
      <c r="E71" s="157"/>
      <c r="F71" s="158">
        <f>(E39*'Non-personnel expenses'!E6)*'Non-personnel expenses'!B8</f>
        <v>0</v>
      </c>
      <c r="G71" s="224"/>
      <c r="H71" s="247">
        <f>(G39*'Non-personnel expenses'!E6)*'Non-personnel expenses'!B8</f>
        <v>0</v>
      </c>
    </row>
    <row r="72" spans="1:8" x14ac:dyDescent="0.25">
      <c r="A72" s="68" t="s">
        <v>42</v>
      </c>
      <c r="C72" s="192"/>
      <c r="D72" s="194">
        <f>'Non-personnel expenses'!B9</f>
        <v>500</v>
      </c>
      <c r="E72" s="157"/>
      <c r="F72" s="158">
        <f>IF(E39=0,0,'Non-personnel expenses'!$B$9)</f>
        <v>0</v>
      </c>
      <c r="G72" s="224"/>
      <c r="H72" s="247">
        <f>IF(G39=0,0,'Non-personnel expenses'!$B$9)</f>
        <v>0</v>
      </c>
    </row>
    <row r="73" spans="1:8" x14ac:dyDescent="0.25">
      <c r="A73" s="69" t="s">
        <v>44</v>
      </c>
      <c r="C73" s="192"/>
      <c r="D73" s="194">
        <f>C57*'Non-personnel expenses'!B11</f>
        <v>800</v>
      </c>
      <c r="E73" s="157"/>
      <c r="F73" s="158">
        <f>E57*'Non-personnel expenses'!B11</f>
        <v>0</v>
      </c>
      <c r="G73" s="224"/>
      <c r="H73" s="247">
        <f>G57*'Non-personnel expenses'!B11</f>
        <v>0</v>
      </c>
    </row>
    <row r="74" spans="1:8" x14ac:dyDescent="0.25">
      <c r="A74" s="69" t="s">
        <v>45</v>
      </c>
      <c r="C74" s="192"/>
      <c r="D74" s="194"/>
      <c r="E74" s="172"/>
      <c r="F74" s="173"/>
      <c r="G74" s="228"/>
      <c r="H74" s="248"/>
    </row>
    <row r="75" spans="1:8" ht="16.5" thickBot="1" x14ac:dyDescent="0.3">
      <c r="A75" s="68" t="s">
        <v>46</v>
      </c>
      <c r="C75" s="195"/>
      <c r="D75" s="196"/>
      <c r="E75" s="174"/>
      <c r="F75" s="175"/>
      <c r="G75" s="229"/>
      <c r="H75" s="230"/>
    </row>
    <row r="76" spans="1:8" x14ac:dyDescent="0.25">
      <c r="C76" s="170"/>
      <c r="D76" s="171"/>
    </row>
    <row r="77" spans="1:8" x14ac:dyDescent="0.25">
      <c r="A77" s="45" t="s">
        <v>99</v>
      </c>
      <c r="C77" s="70"/>
      <c r="D77" s="96">
        <f>SUM(D65:D75)</f>
        <v>2740</v>
      </c>
      <c r="E77" s="96"/>
      <c r="F77" s="96">
        <f t="shared" ref="F77" si="10">SUM(F65:F75)</f>
        <v>0</v>
      </c>
      <c r="G77" s="96"/>
      <c r="H77" s="96">
        <f>SUM(H65:H75)</f>
        <v>0</v>
      </c>
    </row>
    <row r="78" spans="1:8" x14ac:dyDescent="0.25">
      <c r="C78" s="70"/>
      <c r="D78" s="70"/>
    </row>
    <row r="79" spans="1:8" x14ac:dyDescent="0.25">
      <c r="A79" s="4" t="s">
        <v>100</v>
      </c>
      <c r="D79" s="97">
        <f>D62+D77</f>
        <v>142570</v>
      </c>
      <c r="E79" s="97"/>
      <c r="F79" s="97">
        <f t="shared" ref="F79:H79" si="11">F62+F77</f>
        <v>0</v>
      </c>
      <c r="G79" s="97"/>
      <c r="H79" s="97">
        <f t="shared" si="11"/>
        <v>0</v>
      </c>
    </row>
    <row r="80" spans="1:8" x14ac:dyDescent="0.25">
      <c r="A80" s="4"/>
    </row>
    <row r="81" spans="1:8" x14ac:dyDescent="0.25">
      <c r="A81" s="197" t="s">
        <v>149</v>
      </c>
      <c r="D81" s="97">
        <f>D79+F79+H79</f>
        <v>142570</v>
      </c>
    </row>
    <row r="82" spans="1:8" x14ac:dyDescent="0.25">
      <c r="A82" s="1"/>
    </row>
    <row r="83" spans="1:8" x14ac:dyDescent="0.25">
      <c r="A83" s="1" t="s">
        <v>150</v>
      </c>
      <c r="D83" s="97">
        <f>D20+D28+D81</f>
        <v>253770</v>
      </c>
    </row>
    <row r="84" spans="1:8" ht="18.75" x14ac:dyDescent="0.3">
      <c r="A84" s="1"/>
      <c r="C84" s="3"/>
    </row>
    <row r="85" spans="1:8" ht="18.75" x14ac:dyDescent="0.3">
      <c r="A85" s="1" t="s">
        <v>105</v>
      </c>
      <c r="B85" s="294">
        <v>0</v>
      </c>
      <c r="C85" s="3"/>
      <c r="D85" s="97">
        <f>D83*B85</f>
        <v>0</v>
      </c>
    </row>
    <row r="86" spans="1:8" ht="19.5" thickBot="1" x14ac:dyDescent="0.35">
      <c r="A86" s="1"/>
      <c r="C86" s="3"/>
    </row>
    <row r="87" spans="1:8" ht="19.5" thickBot="1" x14ac:dyDescent="0.35">
      <c r="A87" s="84" t="s">
        <v>131</v>
      </c>
      <c r="B87" s="78"/>
      <c r="C87" s="79"/>
      <c r="D87" s="108">
        <f>D85+D83</f>
        <v>253770</v>
      </c>
    </row>
    <row r="88" spans="1:8" ht="18.75" x14ac:dyDescent="0.3">
      <c r="A88" s="80"/>
      <c r="B88" s="64"/>
      <c r="C88" s="77"/>
      <c r="D88" s="64"/>
    </row>
    <row r="90" spans="1:8" ht="18" x14ac:dyDescent="0.25">
      <c r="A90" s="54" t="s">
        <v>56</v>
      </c>
      <c r="C90" s="64" t="s">
        <v>231</v>
      </c>
      <c r="D90" s="295">
        <f>Variables!B17</f>
        <v>0</v>
      </c>
      <c r="E90" s="296" t="s">
        <v>231</v>
      </c>
      <c r="F90" s="295">
        <f>Variables!B17</f>
        <v>0</v>
      </c>
      <c r="G90" s="296" t="s">
        <v>231</v>
      </c>
      <c r="H90" s="295">
        <f>Variables!B17</f>
        <v>0</v>
      </c>
    </row>
    <row r="91" spans="1:8" ht="18" x14ac:dyDescent="0.25">
      <c r="A91" s="54"/>
      <c r="C91" s="64" t="s">
        <v>232</v>
      </c>
      <c r="D91" s="295">
        <f>Variables!B18</f>
        <v>0</v>
      </c>
      <c r="E91" s="296" t="s">
        <v>232</v>
      </c>
      <c r="F91" s="295">
        <f>Variables!B18</f>
        <v>0</v>
      </c>
      <c r="G91" s="296" t="s">
        <v>232</v>
      </c>
      <c r="H91" s="295">
        <f>Variables!B18</f>
        <v>0</v>
      </c>
    </row>
    <row r="92" spans="1:8" ht="18.75" thickBot="1" x14ac:dyDescent="0.3">
      <c r="A92" s="54"/>
      <c r="C92" t="s">
        <v>226</v>
      </c>
      <c r="D92" s="36" t="s">
        <v>225</v>
      </c>
      <c r="E92" t="s">
        <v>226</v>
      </c>
      <c r="F92" s="36" t="s">
        <v>225</v>
      </c>
      <c r="G92" t="s">
        <v>226</v>
      </c>
      <c r="H92" s="36" t="s">
        <v>225</v>
      </c>
    </row>
    <row r="93" spans="1:8" x14ac:dyDescent="0.25">
      <c r="A93" s="326" t="s">
        <v>219</v>
      </c>
      <c r="B93" s="86" t="s">
        <v>49</v>
      </c>
      <c r="C93" s="88">
        <v>11000</v>
      </c>
      <c r="D93" s="130">
        <f>ROUNDUP(D34*Variables!$B$17,0)*C93</f>
        <v>0</v>
      </c>
      <c r="E93" s="88">
        <v>11000</v>
      </c>
      <c r="F93" s="130">
        <f>ROUNDUP(F34*Variables!$B$17,0)*E93</f>
        <v>0</v>
      </c>
      <c r="G93" s="88">
        <v>11000</v>
      </c>
      <c r="H93" s="250">
        <f>ROUNDUP(H34*Variables!$B$17,0)*G93</f>
        <v>0</v>
      </c>
    </row>
    <row r="94" spans="1:8" x14ac:dyDescent="0.25">
      <c r="A94" s="327"/>
      <c r="B94" s="75" t="s">
        <v>50</v>
      </c>
      <c r="C94" s="85">
        <v>11000</v>
      </c>
      <c r="D94" s="131">
        <f>ROUNDUP(D35*Variables!$B$17,0)*C94</f>
        <v>0</v>
      </c>
      <c r="E94" s="85">
        <v>11000</v>
      </c>
      <c r="F94" s="131">
        <f>ROUNDUP(F35*Variables!$B$17,0)*E94</f>
        <v>0</v>
      </c>
      <c r="G94" s="85">
        <v>11000</v>
      </c>
      <c r="H94" s="127">
        <f>ROUNDUP(H35*Variables!$B$17,0)*G94</f>
        <v>0</v>
      </c>
    </row>
    <row r="95" spans="1:8" x14ac:dyDescent="0.25">
      <c r="A95" s="327"/>
      <c r="B95" s="75" t="s">
        <v>51</v>
      </c>
      <c r="C95" s="85">
        <v>11000</v>
      </c>
      <c r="D95" s="131">
        <f>ROUNDUP(D36*Variables!$B$17,0)*C95</f>
        <v>0</v>
      </c>
      <c r="E95" s="85">
        <v>11000</v>
      </c>
      <c r="F95" s="131">
        <f>ROUNDUP(F36*Variables!$B$17,0)*E95</f>
        <v>0</v>
      </c>
      <c r="G95" s="85">
        <v>11000</v>
      </c>
      <c r="H95" s="127">
        <f>ROUNDUP(H36*Variables!$B$17,0)*G95</f>
        <v>0</v>
      </c>
    </row>
    <row r="96" spans="1:8" x14ac:dyDescent="0.25">
      <c r="A96" s="327"/>
      <c r="B96" s="75" t="s">
        <v>54</v>
      </c>
      <c r="C96" s="85">
        <v>5400</v>
      </c>
      <c r="D96" s="131">
        <f>ROUNDUP(D37*Variables!$B$18,0)*C96</f>
        <v>0</v>
      </c>
      <c r="E96" s="85">
        <v>5400</v>
      </c>
      <c r="F96" s="131">
        <f>ROUNDUP(F37*Variables!$B$18,0)*E96</f>
        <v>0</v>
      </c>
      <c r="G96" s="85">
        <v>5400</v>
      </c>
      <c r="H96" s="127">
        <f>ROUNDUP(H37*Variables!$B$18,0)*G96</f>
        <v>0</v>
      </c>
    </row>
    <row r="97" spans="1:8" ht="16.5" thickBot="1" x14ac:dyDescent="0.3">
      <c r="A97" s="328"/>
      <c r="B97" s="87" t="s">
        <v>53</v>
      </c>
      <c r="C97" s="89">
        <v>5400</v>
      </c>
      <c r="D97" s="132">
        <f>ROUNDUP(D38*Variables!$B$18,0)*C97</f>
        <v>0</v>
      </c>
      <c r="E97" s="89">
        <v>5400</v>
      </c>
      <c r="F97" s="132">
        <f>ROUNDUP(F38*Variables!$B$18,0)*E97</f>
        <v>0</v>
      </c>
      <c r="G97" s="89">
        <v>5400</v>
      </c>
      <c r="H97" s="251">
        <f>ROUNDUP(H38*Variables!$B$18,0)*G97</f>
        <v>0</v>
      </c>
    </row>
    <row r="98" spans="1:8" x14ac:dyDescent="0.25">
      <c r="A98" s="59"/>
      <c r="B98" s="58"/>
      <c r="C98" s="64"/>
      <c r="D98" s="96">
        <f>SUMIF(D93:D97,"&gt;0")</f>
        <v>0</v>
      </c>
      <c r="E98" s="64"/>
      <c r="F98" s="96">
        <f>SUMIF(F93:F97,"&gt;0")</f>
        <v>0</v>
      </c>
      <c r="G98" s="64"/>
      <c r="H98" s="96">
        <f>SUMIF(H93:H97,"&gt;0")</f>
        <v>0</v>
      </c>
    </row>
    <row r="99" spans="1:8" x14ac:dyDescent="0.25">
      <c r="A99" s="59"/>
      <c r="B99" s="58"/>
      <c r="C99" s="64"/>
      <c r="D99" s="96"/>
      <c r="E99" s="64"/>
      <c r="F99" s="96"/>
      <c r="G99" s="64"/>
      <c r="H99" s="96"/>
    </row>
    <row r="100" spans="1:8" x14ac:dyDescent="0.25">
      <c r="B100" s="55"/>
      <c r="C100" s="64" t="s">
        <v>233</v>
      </c>
      <c r="D100" s="2">
        <f>Variables!B21</f>
        <v>0</v>
      </c>
      <c r="E100" s="64" t="s">
        <v>233</v>
      </c>
      <c r="F100" s="2">
        <f>Variables!B21</f>
        <v>0</v>
      </c>
      <c r="G100" s="64" t="s">
        <v>233</v>
      </c>
      <c r="H100" s="2">
        <f>Variables!B21</f>
        <v>0</v>
      </c>
    </row>
    <row r="101" spans="1:8" x14ac:dyDescent="0.25">
      <c r="B101" s="55"/>
      <c r="C101" s="64" t="s">
        <v>234</v>
      </c>
      <c r="D101" s="2">
        <f>Variables!B22</f>
        <v>0</v>
      </c>
      <c r="E101" s="64" t="s">
        <v>234</v>
      </c>
      <c r="F101" s="2">
        <f>Variables!B22</f>
        <v>0</v>
      </c>
      <c r="G101" s="64" t="s">
        <v>234</v>
      </c>
      <c r="H101" s="2">
        <f>Variables!B22</f>
        <v>0</v>
      </c>
    </row>
    <row r="102" spans="1:8" ht="18.75" thickBot="1" x14ac:dyDescent="0.3">
      <c r="A102" s="54"/>
      <c r="C102" t="s">
        <v>227</v>
      </c>
      <c r="D102" s="36" t="s">
        <v>228</v>
      </c>
      <c r="E102" t="s">
        <v>227</v>
      </c>
      <c r="F102" s="36" t="s">
        <v>228</v>
      </c>
      <c r="G102" t="s">
        <v>227</v>
      </c>
      <c r="H102" s="36" t="s">
        <v>228</v>
      </c>
    </row>
    <row r="103" spans="1:8" ht="17.100000000000001" customHeight="1" x14ac:dyDescent="0.25">
      <c r="A103" s="326" t="s">
        <v>221</v>
      </c>
      <c r="B103" s="86" t="s">
        <v>49</v>
      </c>
      <c r="C103" s="88">
        <v>13500</v>
      </c>
      <c r="D103" s="130">
        <f>ROUNDUP(D34*Variables!$B$21,0)*C103</f>
        <v>0</v>
      </c>
      <c r="E103" s="88">
        <v>13500</v>
      </c>
      <c r="F103" s="130">
        <f>ROUNDUP(F34*Variables!$B$21,0)*E103</f>
        <v>0</v>
      </c>
      <c r="G103" s="88">
        <v>13500</v>
      </c>
      <c r="H103" s="250">
        <f>ROUNDUP(H34*Variables!$B$21,0)*G103</f>
        <v>0</v>
      </c>
    </row>
    <row r="104" spans="1:8" x14ac:dyDescent="0.25">
      <c r="A104" s="327"/>
      <c r="B104" s="75" t="s">
        <v>50</v>
      </c>
      <c r="C104" s="85">
        <v>13500</v>
      </c>
      <c r="D104" s="131">
        <f>ROUNDUP(D35*Variables!$B$21,0)*C104</f>
        <v>0</v>
      </c>
      <c r="E104" s="85">
        <v>13500</v>
      </c>
      <c r="F104" s="131">
        <f>ROUNDUP(F35*Variables!$B$21,0)*E104</f>
        <v>0</v>
      </c>
      <c r="G104" s="85">
        <v>13500</v>
      </c>
      <c r="H104" s="127">
        <f>ROUNDUP(H35*Variables!$B$21,0)*G104</f>
        <v>0</v>
      </c>
    </row>
    <row r="105" spans="1:8" x14ac:dyDescent="0.25">
      <c r="A105" s="327"/>
      <c r="B105" s="75" t="s">
        <v>51</v>
      </c>
      <c r="C105" s="85">
        <v>13500</v>
      </c>
      <c r="D105" s="131">
        <f>ROUNDUP(D36*Variables!$B$21,0)*C105</f>
        <v>0</v>
      </c>
      <c r="E105" s="85">
        <v>13500</v>
      </c>
      <c r="F105" s="131">
        <f>ROUNDUP(F36*Variables!$B$21,0)*E105</f>
        <v>0</v>
      </c>
      <c r="G105" s="85">
        <v>13500</v>
      </c>
      <c r="H105" s="127">
        <f>ROUNDUP(H36*Variables!$B$21,0)*G105</f>
        <v>0</v>
      </c>
    </row>
    <row r="106" spans="1:8" x14ac:dyDescent="0.25">
      <c r="A106" s="327"/>
      <c r="B106" s="75" t="s">
        <v>54</v>
      </c>
      <c r="C106" s="85">
        <v>11000</v>
      </c>
      <c r="D106" s="131">
        <f>ROUNDUP(D37*Variables!$B$22,0)*C106</f>
        <v>0</v>
      </c>
      <c r="E106" s="85">
        <v>11000</v>
      </c>
      <c r="F106" s="131">
        <f>ROUNDUP(F37*Variables!$B$22,0)*E106</f>
        <v>0</v>
      </c>
      <c r="G106" s="85">
        <v>11000</v>
      </c>
      <c r="H106" s="127">
        <f>ROUNDUP(H37*Variables!$B$22,0)*G106</f>
        <v>0</v>
      </c>
    </row>
    <row r="107" spans="1:8" ht="16.5" thickBot="1" x14ac:dyDescent="0.3">
      <c r="A107" s="328"/>
      <c r="B107" s="87" t="s">
        <v>53</v>
      </c>
      <c r="C107" s="89">
        <v>11000</v>
      </c>
      <c r="D107" s="132">
        <f>ROUNDUP(D38*Variables!$B$22,0)*C107</f>
        <v>0</v>
      </c>
      <c r="E107" s="89">
        <v>11000</v>
      </c>
      <c r="F107" s="132">
        <f>ROUNDUP(F38*Variables!$B$22,0)*E107</f>
        <v>0</v>
      </c>
      <c r="G107" s="89">
        <v>11000</v>
      </c>
      <c r="H107" s="251">
        <f>ROUNDUP(H38*Variables!$B$22,0)*G107</f>
        <v>0</v>
      </c>
    </row>
    <row r="108" spans="1:8" x14ac:dyDescent="0.25">
      <c r="A108" s="59"/>
      <c r="B108" s="58"/>
      <c r="C108" s="64"/>
      <c r="D108" s="96">
        <f>SUMIF(D103:D107,"&gt;0")</f>
        <v>0</v>
      </c>
      <c r="E108" s="64"/>
      <c r="F108" s="96">
        <f>SUMIF(F103:F107,"&gt;0")</f>
        <v>0</v>
      </c>
      <c r="G108" s="64"/>
      <c r="H108" s="96">
        <f>SUMIF(H103:H107,"&gt;0")</f>
        <v>0</v>
      </c>
    </row>
    <row r="109" spans="1:8" x14ac:dyDescent="0.25">
      <c r="A109" s="59"/>
      <c r="B109" s="58"/>
      <c r="C109" s="64"/>
      <c r="D109" s="96"/>
      <c r="E109" s="64"/>
      <c r="F109" s="96"/>
      <c r="G109" s="64"/>
      <c r="H109" s="96"/>
    </row>
    <row r="110" spans="1:8" x14ac:dyDescent="0.25">
      <c r="B110" s="55"/>
      <c r="C110" s="56"/>
      <c r="D110" s="55"/>
      <c r="E110" s="56"/>
      <c r="F110" s="55"/>
      <c r="G110" s="56"/>
      <c r="H110" s="55"/>
    </row>
    <row r="111" spans="1:8" x14ac:dyDescent="0.25">
      <c r="B111" s="55"/>
      <c r="C111" s="64" t="s">
        <v>235</v>
      </c>
      <c r="D111" s="2">
        <f>Variables!B25</f>
        <v>0</v>
      </c>
      <c r="E111" s="64" t="s">
        <v>235</v>
      </c>
      <c r="F111" s="2">
        <f>Variables!B25</f>
        <v>0</v>
      </c>
      <c r="G111" s="64" t="s">
        <v>235</v>
      </c>
      <c r="H111" s="2">
        <f>Variables!B25</f>
        <v>0</v>
      </c>
    </row>
    <row r="112" spans="1:8" ht="18.75" thickBot="1" x14ac:dyDescent="0.3">
      <c r="A112" s="54"/>
      <c r="C112" t="s">
        <v>229</v>
      </c>
      <c r="D112" s="36" t="s">
        <v>230</v>
      </c>
      <c r="E112" t="s">
        <v>229</v>
      </c>
      <c r="F112" s="36" t="s">
        <v>230</v>
      </c>
      <c r="G112" t="s">
        <v>229</v>
      </c>
      <c r="H112" s="36" t="s">
        <v>230</v>
      </c>
    </row>
    <row r="113" spans="1:8" x14ac:dyDescent="0.25">
      <c r="A113" s="326" t="s">
        <v>223</v>
      </c>
      <c r="B113" s="86" t="s">
        <v>49</v>
      </c>
      <c r="C113" s="88">
        <v>11165</v>
      </c>
      <c r="D113" s="130">
        <f>ROUNDUP(D34*Variables!$B$25,0)*C113</f>
        <v>0</v>
      </c>
      <c r="E113" s="88">
        <v>11165</v>
      </c>
      <c r="F113" s="130">
        <f>ROUNDUP(F34*Variables!$B$25,0)*E113</f>
        <v>0</v>
      </c>
      <c r="G113" s="88">
        <v>11165</v>
      </c>
      <c r="H113" s="250">
        <f>ROUNDUP(H34*Variables!$B$25,0)*G113</f>
        <v>0</v>
      </c>
    </row>
    <row r="114" spans="1:8" x14ac:dyDescent="0.25">
      <c r="A114" s="338"/>
      <c r="B114" s="75" t="s">
        <v>50</v>
      </c>
      <c r="C114" s="85">
        <v>11165</v>
      </c>
      <c r="D114" s="131">
        <f>ROUNDUP(D35*Variables!$B$25,0)*C114</f>
        <v>0</v>
      </c>
      <c r="E114" s="85">
        <v>11165</v>
      </c>
      <c r="F114" s="131">
        <f>ROUNDUP(F35*Variables!$B$25,0)*E114</f>
        <v>0</v>
      </c>
      <c r="G114" s="85">
        <v>11165</v>
      </c>
      <c r="H114" s="127">
        <f>ROUNDUP(H35*Variables!$B$25,0)*G114</f>
        <v>0</v>
      </c>
    </row>
    <row r="115" spans="1:8" ht="16.5" thickBot="1" x14ac:dyDescent="0.3">
      <c r="A115" s="339"/>
      <c r="B115" s="87" t="s">
        <v>51</v>
      </c>
      <c r="C115" s="89">
        <v>11165</v>
      </c>
      <c r="D115" s="132">
        <f>ROUNDUP(D36*Variables!$B$25,0)*C115</f>
        <v>0</v>
      </c>
      <c r="E115" s="89">
        <v>11165</v>
      </c>
      <c r="F115" s="132">
        <f>ROUNDUP(F36*Variables!$B$25,0)*E115</f>
        <v>0</v>
      </c>
      <c r="G115" s="89">
        <v>11165</v>
      </c>
      <c r="H115" s="251">
        <f>ROUNDUP(H36*Variables!$B$25,0)*G115</f>
        <v>0</v>
      </c>
    </row>
    <row r="116" spans="1:8" x14ac:dyDescent="0.25">
      <c r="A116" s="59"/>
      <c r="B116" s="58"/>
      <c r="C116" s="64"/>
      <c r="D116" s="96">
        <f>SUMIF(D113:D115,"&gt;0")</f>
        <v>0</v>
      </c>
      <c r="E116" s="64"/>
      <c r="F116" s="96">
        <f>SUMIF(F113:F115,"&gt;0")</f>
        <v>0</v>
      </c>
      <c r="G116" s="64"/>
      <c r="H116" s="96">
        <f>SUMIF(H113:H115,"&gt;0")</f>
        <v>0</v>
      </c>
    </row>
    <row r="117" spans="1:8" x14ac:dyDescent="0.25">
      <c r="A117" s="59"/>
      <c r="C117" s="58"/>
      <c r="D117" s="70"/>
      <c r="E117" s="58"/>
      <c r="F117" s="70"/>
      <c r="G117" s="58"/>
      <c r="H117" s="70"/>
    </row>
    <row r="118" spans="1:8" x14ac:dyDescent="0.25">
      <c r="A118" s="59"/>
      <c r="C118" s="64" t="s">
        <v>59</v>
      </c>
      <c r="D118" s="133">
        <f>Variables!B28</f>
        <v>0</v>
      </c>
      <c r="E118" s="64" t="s">
        <v>59</v>
      </c>
      <c r="F118" s="133">
        <f>Variables!B28</f>
        <v>0</v>
      </c>
      <c r="G118" s="64" t="s">
        <v>59</v>
      </c>
      <c r="H118" s="133">
        <f>Variables!B28</f>
        <v>0</v>
      </c>
    </row>
    <row r="119" spans="1:8" ht="16.5" thickBot="1" x14ac:dyDescent="0.3">
      <c r="A119" s="8"/>
      <c r="C119" s="64" t="s">
        <v>60</v>
      </c>
      <c r="D119" s="133">
        <f>Variables!B29</f>
        <v>0</v>
      </c>
      <c r="E119" s="64" t="s">
        <v>60</v>
      </c>
      <c r="F119" s="133">
        <f>Variables!B29</f>
        <v>0</v>
      </c>
      <c r="G119" s="64" t="s">
        <v>60</v>
      </c>
      <c r="H119" s="133">
        <f>Variables!B29</f>
        <v>0</v>
      </c>
    </row>
    <row r="120" spans="1:8" x14ac:dyDescent="0.25">
      <c r="A120" s="340" t="s">
        <v>95</v>
      </c>
      <c r="B120" s="280" t="s">
        <v>49</v>
      </c>
      <c r="C120" s="88">
        <f>'Revenue Sources'!E11</f>
        <v>10151.5568</v>
      </c>
      <c r="D120" s="130">
        <f>ROUNDUP($D$118*D34,0)*C120</f>
        <v>0</v>
      </c>
      <c r="E120" s="88">
        <f>'Revenue Sources'!E11</f>
        <v>10151.5568</v>
      </c>
      <c r="F120" s="130">
        <f>ROUNDUP($F$118*F34,0)*E120</f>
        <v>0</v>
      </c>
      <c r="G120" s="88">
        <f>'Revenue Sources'!E11</f>
        <v>10151.5568</v>
      </c>
      <c r="H120" s="250">
        <f>ROUNDUP($H$118*H34,0)*G120</f>
        <v>0</v>
      </c>
    </row>
    <row r="121" spans="1:8" x14ac:dyDescent="0.25">
      <c r="A121" s="341"/>
      <c r="B121" s="265" t="s">
        <v>50</v>
      </c>
      <c r="C121" s="85">
        <f>'Revenue Sources'!E12</f>
        <v>10151.5568</v>
      </c>
      <c r="D121" s="131">
        <f>ROUNDUP($D$118*D35,0)*C121</f>
        <v>0</v>
      </c>
      <c r="E121" s="85">
        <f>'Revenue Sources'!E12</f>
        <v>10151.5568</v>
      </c>
      <c r="F121" s="131">
        <f>ROUNDUP($F$118*F35,0)*E121</f>
        <v>0</v>
      </c>
      <c r="G121" s="85">
        <f>'Revenue Sources'!E12</f>
        <v>10151.5568</v>
      </c>
      <c r="H121" s="127">
        <f>ROUNDUP($H$118*H35,0)*G121</f>
        <v>0</v>
      </c>
    </row>
    <row r="122" spans="1:8" x14ac:dyDescent="0.25">
      <c r="A122" s="341"/>
      <c r="B122" s="265" t="s">
        <v>51</v>
      </c>
      <c r="C122" s="85">
        <f>'Revenue Sources'!E13</f>
        <v>8572.3791999999976</v>
      </c>
      <c r="D122" s="131">
        <f>ROUNDUP($D$118*D36,0)*C122</f>
        <v>0</v>
      </c>
      <c r="E122" s="85">
        <f>'Revenue Sources'!E13</f>
        <v>8572.3791999999976</v>
      </c>
      <c r="F122" s="131">
        <f>ROUNDUP($F$118*F36,0)*E122</f>
        <v>0</v>
      </c>
      <c r="G122" s="85">
        <f>'Revenue Sources'!E13</f>
        <v>8572.3791999999976</v>
      </c>
      <c r="H122" s="127">
        <f>ROUNDUP($H$118*H36,0)*G122</f>
        <v>0</v>
      </c>
    </row>
    <row r="123" spans="1:8" x14ac:dyDescent="0.25">
      <c r="A123" s="341"/>
      <c r="B123" s="265" t="s">
        <v>54</v>
      </c>
      <c r="C123" s="85">
        <f>'Revenue Sources'!E14</f>
        <v>7143.9983999999995</v>
      </c>
      <c r="D123" s="131">
        <f>ROUNDUP($D$119*D37,0)*C123</f>
        <v>0</v>
      </c>
      <c r="E123" s="85">
        <f>'Revenue Sources'!E14</f>
        <v>7143.9983999999995</v>
      </c>
      <c r="F123" s="131">
        <f>ROUNDUP($F$119*F37,0)*E123</f>
        <v>0</v>
      </c>
      <c r="G123" s="85">
        <f>'Revenue Sources'!E14</f>
        <v>7143.9983999999995</v>
      </c>
      <c r="H123" s="127">
        <f>ROUNDUP($H$119*H37,0)*G123</f>
        <v>0</v>
      </c>
    </row>
    <row r="124" spans="1:8" ht="16.5" thickBot="1" x14ac:dyDescent="0.3">
      <c r="A124" s="342"/>
      <c r="B124" s="266" t="s">
        <v>53</v>
      </c>
      <c r="C124" s="89">
        <f>'Revenue Sources'!E15</f>
        <v>7143.9983999999995</v>
      </c>
      <c r="D124" s="132">
        <f>ROUNDUP($D$119*D38,0)*C124</f>
        <v>0</v>
      </c>
      <c r="E124" s="89">
        <f>'Revenue Sources'!E15</f>
        <v>7143.9983999999995</v>
      </c>
      <c r="F124" s="132">
        <f>ROUNDUP($F$119*F38,0)*E124</f>
        <v>0</v>
      </c>
      <c r="G124" s="89">
        <f>'Revenue Sources'!E15</f>
        <v>7143.9983999999995</v>
      </c>
      <c r="H124" s="251">
        <f>ROUNDUP($H$119*H38,0)*G124</f>
        <v>0</v>
      </c>
    </row>
    <row r="125" spans="1:8" x14ac:dyDescent="0.25">
      <c r="A125" s="59"/>
      <c r="B125" s="58"/>
      <c r="D125" s="134">
        <f>SUMIF(D120:D124,"&gt;0")</f>
        <v>0</v>
      </c>
      <c r="F125" s="134">
        <f>SUMIF(F120:F124,"&gt;0")</f>
        <v>0</v>
      </c>
      <c r="H125" s="134">
        <f>SUMIF(H120:H124,"&gt;0")</f>
        <v>0</v>
      </c>
    </row>
    <row r="126" spans="1:8" x14ac:dyDescent="0.25">
      <c r="A126" s="59"/>
      <c r="C126" s="58"/>
      <c r="D126" s="70"/>
      <c r="E126" s="58"/>
      <c r="F126" s="70"/>
      <c r="G126" s="58"/>
      <c r="H126" s="70"/>
    </row>
    <row r="127" spans="1:8" x14ac:dyDescent="0.25">
      <c r="A127" s="59"/>
      <c r="C127" s="64" t="s">
        <v>61</v>
      </c>
      <c r="D127" s="133">
        <f>Variables!B32</f>
        <v>0</v>
      </c>
      <c r="E127" s="64" t="s">
        <v>61</v>
      </c>
      <c r="F127" s="133">
        <f>Variables!B32</f>
        <v>0</v>
      </c>
      <c r="G127" s="64" t="s">
        <v>61</v>
      </c>
      <c r="H127" s="133">
        <f>Variables!B32</f>
        <v>0</v>
      </c>
    </row>
    <row r="128" spans="1:8" ht="16.5" thickBot="1" x14ac:dyDescent="0.3">
      <c r="A128" s="8"/>
      <c r="C128" s="64" t="s">
        <v>62</v>
      </c>
      <c r="D128" s="133">
        <f>Variables!B33</f>
        <v>0</v>
      </c>
      <c r="E128" s="64" t="s">
        <v>62</v>
      </c>
      <c r="F128" s="133">
        <f>Variables!B33</f>
        <v>0</v>
      </c>
      <c r="G128" s="64" t="s">
        <v>62</v>
      </c>
      <c r="H128" s="133">
        <f>Variables!B33</f>
        <v>0</v>
      </c>
    </row>
    <row r="129" spans="1:8" x14ac:dyDescent="0.25">
      <c r="A129" s="340" t="s">
        <v>101</v>
      </c>
      <c r="B129" s="280" t="s">
        <v>49</v>
      </c>
      <c r="C129" s="88" t="e">
        <f>'Revenue Sources'!B11</f>
        <v>#VALUE!</v>
      </c>
      <c r="D129" s="130" t="e">
        <f>C129*($D$127*D34)</f>
        <v>#VALUE!</v>
      </c>
      <c r="E129" s="88" t="e">
        <f>'Revenue Sources'!B11</f>
        <v>#VALUE!</v>
      </c>
      <c r="F129" s="130" t="e">
        <f>E129*($D$127*F34)</f>
        <v>#VALUE!</v>
      </c>
      <c r="G129" s="88" t="e">
        <f>'Revenue Sources'!B11</f>
        <v>#VALUE!</v>
      </c>
      <c r="H129" s="250" t="e">
        <f>G129*($D$127*H34)</f>
        <v>#VALUE!</v>
      </c>
    </row>
    <row r="130" spans="1:8" x14ac:dyDescent="0.25">
      <c r="A130" s="341"/>
      <c r="B130" s="265" t="s">
        <v>50</v>
      </c>
      <c r="C130" s="85" t="e">
        <f>'Revenue Sources'!B12</f>
        <v>#VALUE!</v>
      </c>
      <c r="D130" s="131" t="e">
        <f>C130*($D$127*D35)</f>
        <v>#VALUE!</v>
      </c>
      <c r="E130" s="85" t="e">
        <f>'Revenue Sources'!B12</f>
        <v>#VALUE!</v>
      </c>
      <c r="F130" s="131" t="e">
        <f>E130*($D$127*F35)</f>
        <v>#VALUE!</v>
      </c>
      <c r="G130" s="85" t="e">
        <f>'Revenue Sources'!B12</f>
        <v>#VALUE!</v>
      </c>
      <c r="H130" s="127" t="e">
        <f>G130*($D$127*H35)</f>
        <v>#VALUE!</v>
      </c>
    </row>
    <row r="131" spans="1:8" x14ac:dyDescent="0.25">
      <c r="A131" s="341"/>
      <c r="B131" s="265" t="s">
        <v>51</v>
      </c>
      <c r="C131" s="85" t="e">
        <f>'Revenue Sources'!B13</f>
        <v>#VALUE!</v>
      </c>
      <c r="D131" s="131" t="e">
        <f>C131*($D$127*D36)</f>
        <v>#VALUE!</v>
      </c>
      <c r="E131" s="85" t="e">
        <f>'Revenue Sources'!B13</f>
        <v>#VALUE!</v>
      </c>
      <c r="F131" s="131" t="e">
        <f>E131*($D$127*F36)</f>
        <v>#VALUE!</v>
      </c>
      <c r="G131" s="85" t="e">
        <f>'Revenue Sources'!B13</f>
        <v>#VALUE!</v>
      </c>
      <c r="H131" s="127" t="e">
        <f>G131*($D$127*H36)</f>
        <v>#VALUE!</v>
      </c>
    </row>
    <row r="132" spans="1:8" x14ac:dyDescent="0.25">
      <c r="A132" s="341"/>
      <c r="B132" s="265" t="s">
        <v>54</v>
      </c>
      <c r="C132" s="85" t="e">
        <f>'Revenue Sources'!B14</f>
        <v>#VALUE!</v>
      </c>
      <c r="D132" s="131" t="e">
        <f>C132*($D$128*D37)</f>
        <v>#VALUE!</v>
      </c>
      <c r="E132" s="85" t="e">
        <f>'Revenue Sources'!B14</f>
        <v>#VALUE!</v>
      </c>
      <c r="F132" s="131" t="e">
        <f>E132*($D$128*F37)</f>
        <v>#VALUE!</v>
      </c>
      <c r="G132" s="85" t="e">
        <f>'Revenue Sources'!B14</f>
        <v>#VALUE!</v>
      </c>
      <c r="H132" s="127" t="e">
        <f>G132*($D$128*H37)</f>
        <v>#VALUE!</v>
      </c>
    </row>
    <row r="133" spans="1:8" ht="16.5" thickBot="1" x14ac:dyDescent="0.3">
      <c r="A133" s="342"/>
      <c r="B133" s="266" t="s">
        <v>53</v>
      </c>
      <c r="C133" s="89" t="e">
        <f>'Revenue Sources'!B15</f>
        <v>#VALUE!</v>
      </c>
      <c r="D133" s="132" t="e">
        <f>C133*($D$128*D38)</f>
        <v>#VALUE!</v>
      </c>
      <c r="E133" s="89" t="e">
        <f>'Revenue Sources'!B15</f>
        <v>#VALUE!</v>
      </c>
      <c r="F133" s="132" t="e">
        <f>E133*($D$128*F38)</f>
        <v>#VALUE!</v>
      </c>
      <c r="G133" s="89" t="e">
        <f>'Revenue Sources'!B15</f>
        <v>#VALUE!</v>
      </c>
      <c r="H133" s="251" t="e">
        <f>G133*($D$128*H38)</f>
        <v>#VALUE!</v>
      </c>
    </row>
    <row r="134" spans="1:8" x14ac:dyDescent="0.25">
      <c r="A134" s="59"/>
      <c r="B134" s="58"/>
      <c r="C134" s="72"/>
      <c r="D134" s="96">
        <f>SUMIF(D129:D133,"&gt;0")</f>
        <v>0</v>
      </c>
      <c r="E134" s="72"/>
      <c r="F134" s="96">
        <f>SUMIF(F129:F133,"&gt;0")</f>
        <v>0</v>
      </c>
      <c r="G134" s="72"/>
      <c r="H134" s="96">
        <f>SUMIF(H129:H133,"&gt;0")</f>
        <v>0</v>
      </c>
    </row>
    <row r="135" spans="1:8" x14ac:dyDescent="0.25">
      <c r="A135" s="59"/>
      <c r="B135" s="58"/>
      <c r="C135" s="72"/>
      <c r="D135" s="96"/>
      <c r="E135" s="72"/>
      <c r="F135" s="96"/>
      <c r="G135" s="72"/>
      <c r="H135" s="96"/>
    </row>
    <row r="136" spans="1:8" x14ac:dyDescent="0.25">
      <c r="A136" s="59"/>
      <c r="B136" s="58"/>
      <c r="C136" s="72"/>
      <c r="D136" s="96"/>
      <c r="E136" s="72"/>
      <c r="F136" s="96"/>
      <c r="G136" s="72"/>
      <c r="H136" s="96"/>
    </row>
    <row r="137" spans="1:8" x14ac:dyDescent="0.25">
      <c r="A137" s="59"/>
      <c r="B137" s="58"/>
      <c r="C137" s="72" t="s">
        <v>169</v>
      </c>
      <c r="D137" s="133">
        <f>Variables!B36</f>
        <v>0</v>
      </c>
      <c r="E137" s="72" t="s">
        <v>169</v>
      </c>
      <c r="F137" s="133">
        <f>Variables!B36</f>
        <v>0</v>
      </c>
      <c r="G137" s="72" t="s">
        <v>169</v>
      </c>
      <c r="H137" s="133">
        <f>Variables!B36</f>
        <v>0</v>
      </c>
    </row>
    <row r="138" spans="1:8" x14ac:dyDescent="0.25">
      <c r="A138" s="59"/>
      <c r="B138" s="58"/>
      <c r="C138" s="72" t="s">
        <v>170</v>
      </c>
      <c r="D138" s="133">
        <f>Variables!B37</f>
        <v>0</v>
      </c>
      <c r="E138" s="72" t="s">
        <v>170</v>
      </c>
      <c r="F138" s="133">
        <f>Variables!B37</f>
        <v>0</v>
      </c>
      <c r="G138" s="72" t="s">
        <v>170</v>
      </c>
      <c r="H138" s="133">
        <f>Variables!B37</f>
        <v>0</v>
      </c>
    </row>
    <row r="139" spans="1:8" x14ac:dyDescent="0.25">
      <c r="A139" s="59"/>
      <c r="B139" s="58"/>
      <c r="C139" s="72" t="s">
        <v>196</v>
      </c>
      <c r="D139" s="133">
        <f>Variables!B38</f>
        <v>0</v>
      </c>
      <c r="E139" s="72" t="s">
        <v>196</v>
      </c>
      <c r="F139" s="133">
        <f>Variables!B38</f>
        <v>0</v>
      </c>
      <c r="G139" s="72" t="s">
        <v>196</v>
      </c>
      <c r="H139" s="133">
        <f>Variables!B38</f>
        <v>0</v>
      </c>
    </row>
    <row r="140" spans="1:8" ht="16.5" thickBot="1" x14ac:dyDescent="0.3">
      <c r="A140" s="59"/>
      <c r="B140" s="58"/>
      <c r="C140" s="64" t="s">
        <v>198</v>
      </c>
      <c r="D140" t="s">
        <v>201</v>
      </c>
      <c r="E140" s="64" t="s">
        <v>198</v>
      </c>
      <c r="F140" t="s">
        <v>201</v>
      </c>
      <c r="G140" s="64" t="s">
        <v>198</v>
      </c>
      <c r="H140" t="s">
        <v>201</v>
      </c>
    </row>
    <row r="141" spans="1:8" x14ac:dyDescent="0.25">
      <c r="A141" s="332" t="s">
        <v>166</v>
      </c>
      <c r="B141" s="280" t="s">
        <v>167</v>
      </c>
      <c r="C141" s="88">
        <f>'Revenue Sources'!G11</f>
        <v>1115.7440000000001</v>
      </c>
      <c r="D141" s="130">
        <f>C141*(D137*$D$39)</f>
        <v>0</v>
      </c>
      <c r="E141" s="88">
        <f>'Revenue Sources'!G11</f>
        <v>1115.7440000000001</v>
      </c>
      <c r="F141" s="130">
        <f>E141*(F137*$F$39)</f>
        <v>0</v>
      </c>
      <c r="G141" s="88">
        <f>'Revenue Sources'!G11</f>
        <v>1115.7440000000001</v>
      </c>
      <c r="H141" s="250">
        <f>G141*(H137*$H$39)</f>
        <v>0</v>
      </c>
    </row>
    <row r="142" spans="1:8" x14ac:dyDescent="0.25">
      <c r="A142" s="333"/>
      <c r="B142" s="265" t="s">
        <v>168</v>
      </c>
      <c r="C142" s="85">
        <f>'Revenue Sources'!H11</f>
        <v>898.68799999999999</v>
      </c>
      <c r="D142" s="131">
        <f t="shared" ref="D142:D143" si="12">C142*(D138*$D$39)</f>
        <v>0</v>
      </c>
      <c r="E142" s="85">
        <f>'Revenue Sources'!H11</f>
        <v>898.68799999999999</v>
      </c>
      <c r="F142" s="131">
        <f t="shared" ref="F142:F143" si="13">E142*(F138*$F$39)</f>
        <v>0</v>
      </c>
      <c r="G142" s="85">
        <f>'Revenue Sources'!H11</f>
        <v>898.68799999999999</v>
      </c>
      <c r="H142" s="127">
        <f t="shared" ref="H142:H143" si="14">G142*(H138*$H$39)</f>
        <v>0</v>
      </c>
    </row>
    <row r="143" spans="1:8" ht="16.5" thickBot="1" x14ac:dyDescent="0.3">
      <c r="A143" s="334"/>
      <c r="B143" s="266" t="s">
        <v>197</v>
      </c>
      <c r="C143" s="89">
        <f>'Revenue Sources'!I11</f>
        <v>131.376</v>
      </c>
      <c r="D143" s="132">
        <f t="shared" si="12"/>
        <v>0</v>
      </c>
      <c r="E143" s="89">
        <f>'Revenue Sources'!I11</f>
        <v>131.376</v>
      </c>
      <c r="F143" s="132">
        <f t="shared" si="13"/>
        <v>0</v>
      </c>
      <c r="G143" s="89">
        <f>'Revenue Sources'!I11</f>
        <v>131.376</v>
      </c>
      <c r="H143" s="251">
        <f t="shared" si="14"/>
        <v>0</v>
      </c>
    </row>
    <row r="144" spans="1:8" x14ac:dyDescent="0.25">
      <c r="A144" s="59"/>
      <c r="B144" s="58"/>
      <c r="C144" s="72"/>
      <c r="D144" s="96">
        <f>SUM(D141:D143)</f>
        <v>0</v>
      </c>
      <c r="E144" s="72"/>
      <c r="F144" s="96">
        <f>SUM(F141:F143)</f>
        <v>0</v>
      </c>
      <c r="G144" s="72"/>
      <c r="H144" s="96">
        <f>SUM(H141:H143)</f>
        <v>0</v>
      </c>
    </row>
    <row r="145" spans="1:8" x14ac:dyDescent="0.25">
      <c r="A145" s="59"/>
      <c r="B145" s="58"/>
      <c r="C145" s="72"/>
      <c r="D145" s="64"/>
    </row>
    <row r="146" spans="1:8" x14ac:dyDescent="0.25">
      <c r="A146" s="7" t="s">
        <v>151</v>
      </c>
      <c r="B146" s="58"/>
      <c r="C146" s="72"/>
      <c r="D146" s="72">
        <f>D98+D108+D116+D125+D134+D144</f>
        <v>0</v>
      </c>
      <c r="E146" s="72"/>
      <c r="F146" s="72">
        <f>F98+F108+F116+F125+F134+F144</f>
        <v>0</v>
      </c>
      <c r="G146" s="72"/>
      <c r="H146" s="72">
        <f>H98+H108+H116+H125+H134+H144</f>
        <v>0</v>
      </c>
    </row>
    <row r="147" spans="1:8" ht="16.5" thickBot="1" x14ac:dyDescent="0.3">
      <c r="A147" s="59"/>
      <c r="B147" s="58"/>
      <c r="C147" s="72"/>
      <c r="D147" s="72"/>
    </row>
    <row r="148" spans="1:8" ht="18.75" thickBot="1" x14ac:dyDescent="0.3">
      <c r="A148" s="84" t="s">
        <v>132</v>
      </c>
      <c r="B148" s="99"/>
      <c r="C148" s="100"/>
      <c r="D148" s="98">
        <f>D146+F146+H146</f>
        <v>0</v>
      </c>
    </row>
    <row r="149" spans="1:8" ht="16.5" thickBot="1" x14ac:dyDescent="0.3">
      <c r="A149" s="59"/>
      <c r="B149" s="58"/>
      <c r="C149" s="72"/>
      <c r="D149" s="72"/>
    </row>
    <row r="150" spans="1:8" ht="27" customHeight="1" thickBot="1" x14ac:dyDescent="0.3">
      <c r="A150" s="101" t="s">
        <v>106</v>
      </c>
      <c r="B150" s="99"/>
      <c r="C150" s="100"/>
      <c r="D150" s="98">
        <f>D148-D87</f>
        <v>-253770</v>
      </c>
    </row>
    <row r="151" spans="1:8" x14ac:dyDescent="0.25">
      <c r="A151" s="59"/>
      <c r="B151" s="58"/>
      <c r="C151" s="72"/>
      <c r="D151" s="64"/>
    </row>
    <row r="152" spans="1:8" x14ac:dyDescent="0.25">
      <c r="A152" s="59"/>
      <c r="B152" s="58"/>
      <c r="C152" s="72"/>
      <c r="D152" s="64"/>
    </row>
    <row r="153" spans="1:8" x14ac:dyDescent="0.25">
      <c r="A153" s="59"/>
      <c r="B153" s="58"/>
      <c r="C153" s="72"/>
      <c r="D153" s="64"/>
    </row>
    <row r="154" spans="1:8" x14ac:dyDescent="0.25">
      <c r="A154" s="59"/>
      <c r="B154" s="58"/>
    </row>
    <row r="155" spans="1:8" ht="16.5" thickBot="1" x14ac:dyDescent="0.3">
      <c r="A155" s="57" t="s">
        <v>193</v>
      </c>
      <c r="B155" s="57" t="s">
        <v>96</v>
      </c>
      <c r="D155" s="105"/>
    </row>
    <row r="156" spans="1:8" x14ac:dyDescent="0.25">
      <c r="A156" s="60" t="s">
        <v>126</v>
      </c>
      <c r="B156" s="135">
        <v>16400</v>
      </c>
      <c r="C156" s="12"/>
      <c r="D156" s="70"/>
    </row>
    <row r="157" spans="1:8" x14ac:dyDescent="0.25">
      <c r="A157" s="61" t="s">
        <v>127</v>
      </c>
      <c r="B157" s="136">
        <v>11000</v>
      </c>
      <c r="C157" s="12"/>
      <c r="D157" s="70"/>
    </row>
    <row r="158" spans="1:8" x14ac:dyDescent="0.25">
      <c r="A158" s="61" t="s">
        <v>128</v>
      </c>
      <c r="B158" s="136">
        <v>5400</v>
      </c>
      <c r="C158" s="12"/>
      <c r="D158" s="70"/>
    </row>
    <row r="159" spans="1:8" x14ac:dyDescent="0.25">
      <c r="A159" s="62" t="s">
        <v>137</v>
      </c>
      <c r="B159" s="137">
        <v>0</v>
      </c>
      <c r="C159" s="5"/>
      <c r="D159" s="106"/>
    </row>
    <row r="160" spans="1:8" x14ac:dyDescent="0.25">
      <c r="A160" s="61" t="s">
        <v>129</v>
      </c>
      <c r="B160" s="136">
        <v>24500</v>
      </c>
      <c r="C160" s="12"/>
      <c r="D160" s="70"/>
    </row>
    <row r="161" spans="1:4" x14ac:dyDescent="0.25">
      <c r="A161" s="61" t="s">
        <v>133</v>
      </c>
      <c r="B161" s="136">
        <v>13500</v>
      </c>
      <c r="C161" s="12"/>
      <c r="D161" s="70"/>
    </row>
    <row r="162" spans="1:4" x14ac:dyDescent="0.25">
      <c r="A162" s="61" t="s">
        <v>173</v>
      </c>
      <c r="B162" s="136">
        <v>11000</v>
      </c>
      <c r="C162" s="12"/>
      <c r="D162" s="70"/>
    </row>
    <row r="163" spans="1:4" ht="16.5" thickBot="1" x14ac:dyDescent="0.3">
      <c r="A163" s="63" t="s">
        <v>174</v>
      </c>
      <c r="B163" s="138">
        <v>11165</v>
      </c>
      <c r="C163" s="12"/>
    </row>
    <row r="164" spans="1:4" x14ac:dyDescent="0.25">
      <c r="A164" s="11"/>
      <c r="B164" s="12"/>
      <c r="C164" s="12"/>
    </row>
    <row r="165" spans="1:4" hidden="1" x14ac:dyDescent="0.25"/>
    <row r="166" spans="1:4" hidden="1" x14ac:dyDescent="0.25">
      <c r="A166" s="11" t="s">
        <v>63</v>
      </c>
    </row>
    <row r="167" spans="1:4" hidden="1" x14ac:dyDescent="0.25">
      <c r="A167" s="11" t="s">
        <v>57</v>
      </c>
    </row>
    <row r="168" spans="1:4" hidden="1" x14ac:dyDescent="0.25">
      <c r="A168" s="11" t="s">
        <v>64</v>
      </c>
    </row>
    <row r="169" spans="1:4" hidden="1" x14ac:dyDescent="0.25">
      <c r="A169" s="11" t="s">
        <v>137</v>
      </c>
    </row>
    <row r="170" spans="1:4" hidden="1" x14ac:dyDescent="0.25">
      <c r="A170" s="11" t="s">
        <v>175</v>
      </c>
    </row>
    <row r="171" spans="1:4" hidden="1" x14ac:dyDescent="0.25">
      <c r="A171" s="11" t="s">
        <v>66</v>
      </c>
    </row>
    <row r="172" spans="1:4" hidden="1" x14ac:dyDescent="0.25">
      <c r="A172" s="11" t="s">
        <v>58</v>
      </c>
    </row>
    <row r="173" spans="1:4" hidden="1" x14ac:dyDescent="0.25">
      <c r="A173" s="11" t="s">
        <v>134</v>
      </c>
    </row>
    <row r="174" spans="1:4" hidden="1" x14ac:dyDescent="0.25">
      <c r="A174" s="11" t="s">
        <v>137</v>
      </c>
    </row>
    <row r="175" spans="1:4" x14ac:dyDescent="0.25">
      <c r="A175" s="64"/>
      <c r="B175" s="65"/>
    </row>
  </sheetData>
  <mergeCells count="7">
    <mergeCell ref="A113:A115"/>
    <mergeCell ref="A120:A124"/>
    <mergeCell ref="A129:A133"/>
    <mergeCell ref="C32:D32"/>
    <mergeCell ref="A141:A143"/>
    <mergeCell ref="A93:A97"/>
    <mergeCell ref="A103:A107"/>
  </mergeCells>
  <dataValidations count="1">
    <dataValidation type="list" allowBlank="1" showInputMessage="1" showErrorMessage="1" sqref="B100:B101 B110:B111 C110:H110">
      <formula1>$A$170:$A$173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5" zoomScale="101" workbookViewId="0">
      <selection activeCell="B47" sqref="B47"/>
    </sheetView>
  </sheetViews>
  <sheetFormatPr defaultColWidth="11" defaultRowHeight="15.75" x14ac:dyDescent="0.25"/>
  <cols>
    <col min="1" max="1" width="33.375" customWidth="1"/>
    <col min="2" max="2" width="25.625" customWidth="1"/>
    <col min="3" max="3" width="22.875" customWidth="1"/>
    <col min="4" max="4" width="21.875" customWidth="1"/>
  </cols>
  <sheetData>
    <row r="1" spans="1:11" s="256" customFormat="1" ht="31.5" x14ac:dyDescent="0.25">
      <c r="A1" s="238" t="s">
        <v>111</v>
      </c>
      <c r="B1" s="254" t="s">
        <v>176</v>
      </c>
      <c r="C1" s="255" t="s">
        <v>177</v>
      </c>
      <c r="D1" s="254" t="s">
        <v>178</v>
      </c>
      <c r="F1" s="345"/>
      <c r="G1" s="345"/>
      <c r="H1" s="345"/>
      <c r="J1" s="257"/>
      <c r="K1" s="257"/>
    </row>
    <row r="2" spans="1:11" x14ac:dyDescent="0.25">
      <c r="A2" s="37" t="s">
        <v>171</v>
      </c>
      <c r="B2" s="90">
        <v>55393</v>
      </c>
      <c r="C2" s="91">
        <v>80000</v>
      </c>
      <c r="D2" s="85">
        <v>120000</v>
      </c>
      <c r="F2" s="345"/>
      <c r="G2" s="345"/>
      <c r="H2" s="345"/>
      <c r="J2" s="97"/>
      <c r="K2" s="97"/>
    </row>
    <row r="3" spans="1:11" x14ac:dyDescent="0.25">
      <c r="A3" s="37" t="s">
        <v>14</v>
      </c>
      <c r="B3" s="90">
        <v>41032</v>
      </c>
      <c r="C3" s="91">
        <v>55000</v>
      </c>
      <c r="D3" s="85">
        <v>110000</v>
      </c>
      <c r="F3" s="345"/>
      <c r="G3" s="345"/>
      <c r="H3" s="345"/>
      <c r="J3" s="97"/>
      <c r="K3" s="97"/>
    </row>
    <row r="4" spans="1:11" x14ac:dyDescent="0.25">
      <c r="A4" s="37" t="s">
        <v>191</v>
      </c>
      <c r="B4" s="90">
        <v>43513</v>
      </c>
      <c r="C4" s="91">
        <v>47000</v>
      </c>
      <c r="D4" s="85">
        <v>60000</v>
      </c>
      <c r="F4" s="345"/>
      <c r="G4" s="345"/>
      <c r="H4" s="345"/>
      <c r="J4" s="97"/>
      <c r="K4" s="97"/>
    </row>
    <row r="5" spans="1:11" x14ac:dyDescent="0.25">
      <c r="A5" s="39" t="s">
        <v>192</v>
      </c>
      <c r="B5" s="90">
        <v>32402</v>
      </c>
      <c r="C5" s="91">
        <v>42000</v>
      </c>
      <c r="D5" s="85">
        <v>50000</v>
      </c>
      <c r="F5" s="345"/>
      <c r="G5" s="345"/>
      <c r="H5" s="345"/>
      <c r="J5" s="97"/>
      <c r="K5" s="97"/>
    </row>
    <row r="6" spans="1:11" x14ac:dyDescent="0.25">
      <c r="A6" s="40" t="s">
        <v>17</v>
      </c>
      <c r="B6" s="90">
        <v>27355</v>
      </c>
      <c r="C6" s="91">
        <v>35000</v>
      </c>
      <c r="D6" s="85">
        <v>44000</v>
      </c>
      <c r="F6" s="345"/>
      <c r="G6" s="345"/>
      <c r="H6" s="345"/>
      <c r="J6" s="97"/>
      <c r="K6" s="97"/>
    </row>
    <row r="7" spans="1:11" x14ac:dyDescent="0.25">
      <c r="A7" s="40" t="s">
        <v>18</v>
      </c>
      <c r="B7" s="90">
        <v>24446</v>
      </c>
      <c r="C7" s="91">
        <v>29250</v>
      </c>
      <c r="D7" s="85">
        <v>30000</v>
      </c>
      <c r="F7" s="345"/>
      <c r="G7" s="345"/>
      <c r="H7" s="345"/>
      <c r="J7" s="97"/>
      <c r="K7" s="97"/>
    </row>
    <row r="8" spans="1:11" x14ac:dyDescent="0.25">
      <c r="A8" s="41" t="s">
        <v>19</v>
      </c>
      <c r="B8" s="90">
        <v>28440</v>
      </c>
      <c r="C8" s="91">
        <v>47000</v>
      </c>
      <c r="D8" s="85">
        <v>55000</v>
      </c>
      <c r="F8" s="345"/>
      <c r="G8" s="345"/>
      <c r="H8" s="345"/>
      <c r="J8" s="97"/>
      <c r="K8" s="97"/>
    </row>
    <row r="9" spans="1:11" x14ac:dyDescent="0.25">
      <c r="A9" s="41" t="s">
        <v>20</v>
      </c>
      <c r="B9" s="90">
        <v>28440</v>
      </c>
      <c r="C9" s="91">
        <v>32000</v>
      </c>
      <c r="D9" s="85">
        <v>42000</v>
      </c>
      <c r="F9" s="345"/>
      <c r="G9" s="345"/>
      <c r="H9" s="345"/>
      <c r="J9" s="97"/>
      <c r="K9" s="97"/>
    </row>
    <row r="10" spans="1:11" x14ac:dyDescent="0.25">
      <c r="A10" s="37" t="s">
        <v>21</v>
      </c>
      <c r="B10" s="90">
        <v>33569</v>
      </c>
      <c r="C10" s="91">
        <v>40000</v>
      </c>
      <c r="D10" s="85">
        <v>58000</v>
      </c>
      <c r="F10" s="345"/>
      <c r="G10" s="345"/>
      <c r="H10" s="345"/>
      <c r="J10" s="97"/>
      <c r="K10" s="97"/>
    </row>
    <row r="11" spans="1:11" x14ac:dyDescent="0.25">
      <c r="A11" s="37" t="s">
        <v>22</v>
      </c>
      <c r="B11" s="90">
        <v>40000</v>
      </c>
      <c r="C11" s="91">
        <v>48000</v>
      </c>
      <c r="D11" s="85">
        <v>55000</v>
      </c>
      <c r="F11" s="345"/>
      <c r="G11" s="345"/>
      <c r="H11" s="345"/>
      <c r="J11" s="97"/>
      <c r="K11" s="97"/>
    </row>
    <row r="12" spans="1:11" x14ac:dyDescent="0.25">
      <c r="A12" s="37" t="s">
        <v>23</v>
      </c>
      <c r="B12" s="90">
        <v>51000</v>
      </c>
      <c r="C12" s="91">
        <v>55000</v>
      </c>
      <c r="D12" s="85">
        <v>60000</v>
      </c>
      <c r="F12" s="345"/>
      <c r="G12" s="345"/>
      <c r="H12" s="345"/>
      <c r="J12" s="97"/>
      <c r="K12" s="97"/>
    </row>
    <row r="13" spans="1:11" x14ac:dyDescent="0.25">
      <c r="A13" s="40" t="s">
        <v>24</v>
      </c>
      <c r="B13" s="90">
        <v>23054</v>
      </c>
      <c r="C13" s="91">
        <v>28000</v>
      </c>
      <c r="D13" s="85">
        <v>40000</v>
      </c>
      <c r="F13" s="345"/>
      <c r="G13" s="345"/>
      <c r="H13" s="345"/>
      <c r="J13" s="97"/>
      <c r="K13" s="97"/>
    </row>
    <row r="14" spans="1:11" x14ac:dyDescent="0.25">
      <c r="A14" s="42" t="s">
        <v>25</v>
      </c>
      <c r="B14" s="90">
        <v>20278</v>
      </c>
      <c r="C14" s="91">
        <v>22000</v>
      </c>
      <c r="D14" s="85">
        <v>30000</v>
      </c>
      <c r="F14" s="345"/>
      <c r="G14" s="345"/>
      <c r="H14" s="345"/>
      <c r="J14" s="97"/>
      <c r="K14" s="97"/>
    </row>
    <row r="15" spans="1:11" x14ac:dyDescent="0.25">
      <c r="A15" s="40" t="s">
        <v>26</v>
      </c>
      <c r="B15" s="90">
        <v>28698</v>
      </c>
      <c r="C15" s="91">
        <v>40000</v>
      </c>
      <c r="D15" s="85">
        <v>42000</v>
      </c>
      <c r="F15" s="345"/>
      <c r="G15" s="345"/>
      <c r="H15" s="345"/>
      <c r="J15" s="97"/>
      <c r="K15" s="97"/>
    </row>
    <row r="16" spans="1:11" x14ac:dyDescent="0.25">
      <c r="A16" s="40" t="s">
        <v>27</v>
      </c>
      <c r="B16" s="90">
        <v>20278</v>
      </c>
      <c r="C16" s="91">
        <v>28500</v>
      </c>
      <c r="D16" s="85">
        <v>32000</v>
      </c>
      <c r="F16" s="345"/>
      <c r="G16" s="345"/>
      <c r="H16" s="345"/>
      <c r="J16" s="97"/>
      <c r="K16" s="97"/>
    </row>
    <row r="17" spans="1:11" x14ac:dyDescent="0.25">
      <c r="A17" s="40" t="s">
        <v>28</v>
      </c>
      <c r="B17" s="40"/>
      <c r="C17" s="90"/>
      <c r="D17" s="90"/>
      <c r="F17" s="345"/>
      <c r="G17" s="345"/>
      <c r="H17" s="345"/>
      <c r="J17" s="97"/>
      <c r="K17" s="97"/>
    </row>
    <row r="18" spans="1:11" x14ac:dyDescent="0.25">
      <c r="A18" s="102"/>
      <c r="B18" s="102"/>
      <c r="C18" s="103"/>
      <c r="D18" s="103"/>
    </row>
    <row r="19" spans="1:11" ht="31.5" x14ac:dyDescent="0.25">
      <c r="A19" s="236" t="s">
        <v>112</v>
      </c>
      <c r="B19" s="254" t="s">
        <v>176</v>
      </c>
      <c r="C19" s="255" t="s">
        <v>177</v>
      </c>
      <c r="D19" s="254" t="s">
        <v>178</v>
      </c>
    </row>
    <row r="20" spans="1:11" ht="20.100000000000001" customHeight="1" x14ac:dyDescent="0.25">
      <c r="A20" s="73" t="s">
        <v>1</v>
      </c>
      <c r="B20" s="90">
        <v>64730</v>
      </c>
      <c r="C20" s="91">
        <v>90000</v>
      </c>
      <c r="D20" s="85">
        <v>130000</v>
      </c>
      <c r="J20" s="97"/>
      <c r="K20" s="97"/>
    </row>
    <row r="21" spans="1:11" x14ac:dyDescent="0.25">
      <c r="A21" s="73" t="s">
        <v>2</v>
      </c>
      <c r="B21" s="90">
        <v>50000</v>
      </c>
      <c r="C21" s="91">
        <v>75000</v>
      </c>
      <c r="D21" s="85">
        <v>85000</v>
      </c>
      <c r="I21" s="97"/>
      <c r="J21" s="97"/>
      <c r="K21" s="97"/>
    </row>
    <row r="22" spans="1:11" x14ac:dyDescent="0.25">
      <c r="A22" s="73" t="s">
        <v>3</v>
      </c>
      <c r="B22" s="90">
        <v>45317</v>
      </c>
      <c r="C22" s="91">
        <v>55000</v>
      </c>
      <c r="D22" s="85">
        <v>65000</v>
      </c>
      <c r="J22" s="97"/>
      <c r="K22" s="97"/>
    </row>
    <row r="23" spans="1:11" x14ac:dyDescent="0.25">
      <c r="A23" s="73" t="s">
        <v>4</v>
      </c>
      <c r="B23" s="90">
        <v>50000</v>
      </c>
      <c r="C23" s="91">
        <v>75000</v>
      </c>
      <c r="D23" s="85">
        <v>85000</v>
      </c>
      <c r="J23" s="97"/>
      <c r="K23" s="97"/>
    </row>
    <row r="24" spans="1:11" x14ac:dyDescent="0.25">
      <c r="A24" s="73" t="s">
        <v>5</v>
      </c>
      <c r="B24" s="90">
        <v>42000</v>
      </c>
      <c r="C24" s="91">
        <v>55000</v>
      </c>
      <c r="D24" s="85">
        <v>65000</v>
      </c>
      <c r="J24" s="97"/>
      <c r="K24" s="97"/>
    </row>
    <row r="25" spans="1:11" x14ac:dyDescent="0.25">
      <c r="A25" s="73" t="s">
        <v>6</v>
      </c>
      <c r="B25" s="90">
        <v>51000</v>
      </c>
      <c r="C25" s="91">
        <v>55000</v>
      </c>
      <c r="D25" s="85">
        <v>65000</v>
      </c>
      <c r="J25" s="97"/>
      <c r="K25" s="97"/>
    </row>
    <row r="26" spans="1:11" x14ac:dyDescent="0.25">
      <c r="A26" s="73" t="s">
        <v>7</v>
      </c>
      <c r="B26" s="90">
        <v>33000</v>
      </c>
      <c r="C26" s="90">
        <v>40000</v>
      </c>
      <c r="D26" s="90">
        <v>50000</v>
      </c>
      <c r="J26" s="97"/>
      <c r="K26" s="97"/>
    </row>
    <row r="27" spans="1:11" x14ac:dyDescent="0.25">
      <c r="A27" s="73" t="s">
        <v>8</v>
      </c>
      <c r="B27" s="90">
        <v>30000</v>
      </c>
      <c r="C27" s="91">
        <v>45000</v>
      </c>
      <c r="D27" s="85">
        <v>55000</v>
      </c>
      <c r="J27" s="97"/>
      <c r="K27" s="97"/>
    </row>
    <row r="28" spans="1:11" x14ac:dyDescent="0.25">
      <c r="A28" s="73" t="s">
        <v>9</v>
      </c>
      <c r="B28" s="73"/>
      <c r="C28" s="90"/>
      <c r="D28" s="90"/>
      <c r="J28" s="97"/>
      <c r="K28" s="97"/>
    </row>
    <row r="29" spans="1:11" x14ac:dyDescent="0.25">
      <c r="A29" s="74"/>
      <c r="B29" s="74"/>
      <c r="C29" s="103"/>
      <c r="D29" s="104"/>
    </row>
    <row r="30" spans="1:11" x14ac:dyDescent="0.25">
      <c r="A30" s="6"/>
      <c r="B30" s="4" t="s">
        <v>190</v>
      </c>
      <c r="C30" s="4" t="s">
        <v>179</v>
      </c>
      <c r="D30" s="4" t="s">
        <v>180</v>
      </c>
    </row>
    <row r="31" spans="1:11" x14ac:dyDescent="0.25">
      <c r="A31" s="50" t="s">
        <v>107</v>
      </c>
      <c r="B31" s="252">
        <v>0.03</v>
      </c>
      <c r="C31" s="253">
        <v>0.10349999999999999</v>
      </c>
      <c r="D31" s="252">
        <v>0.15</v>
      </c>
    </row>
    <row r="32" spans="1:11" x14ac:dyDescent="0.25">
      <c r="A32" s="6"/>
      <c r="B32" s="6"/>
      <c r="C32" s="6"/>
      <c r="D32" s="6"/>
    </row>
    <row r="33" spans="1:4" x14ac:dyDescent="0.25">
      <c r="A33" s="6"/>
      <c r="B33" s="6"/>
      <c r="C33" s="6"/>
      <c r="D33" s="6"/>
    </row>
    <row r="34" spans="1:4" x14ac:dyDescent="0.25">
      <c r="A34" s="6"/>
      <c r="B34" s="6"/>
      <c r="C34" s="6"/>
      <c r="D34" s="6"/>
    </row>
    <row r="35" spans="1:4" x14ac:dyDescent="0.25">
      <c r="A35" s="6"/>
      <c r="B35" s="6"/>
      <c r="C35" s="6"/>
      <c r="D35" s="6"/>
    </row>
    <row r="36" spans="1:4" ht="18" x14ac:dyDescent="0.25">
      <c r="A36" s="236" t="s">
        <v>135</v>
      </c>
      <c r="B36" s="44" t="s">
        <v>183</v>
      </c>
      <c r="C36" s="258"/>
      <c r="D36" s="6"/>
    </row>
    <row r="37" spans="1:4" x14ac:dyDescent="0.25">
      <c r="A37" s="37" t="s">
        <v>13</v>
      </c>
      <c r="B37" s="38" t="s">
        <v>92</v>
      </c>
      <c r="C37" s="259"/>
      <c r="D37" s="6"/>
    </row>
    <row r="38" spans="1:4" x14ac:dyDescent="0.25">
      <c r="A38" s="37" t="s">
        <v>14</v>
      </c>
      <c r="B38" s="38" t="s">
        <v>92</v>
      </c>
      <c r="C38" s="259"/>
      <c r="D38" s="6"/>
    </row>
    <row r="39" spans="1:4" x14ac:dyDescent="0.25">
      <c r="A39" s="37" t="s">
        <v>15</v>
      </c>
      <c r="B39" s="38" t="s">
        <v>93</v>
      </c>
      <c r="C39" s="259"/>
      <c r="D39" s="6"/>
    </row>
    <row r="40" spans="1:4" x14ac:dyDescent="0.25">
      <c r="A40" s="39" t="s">
        <v>16</v>
      </c>
      <c r="B40" s="38" t="s">
        <v>93</v>
      </c>
      <c r="C40" s="259"/>
      <c r="D40" s="6"/>
    </row>
    <row r="41" spans="1:4" x14ac:dyDescent="0.25">
      <c r="A41" s="40" t="s">
        <v>17</v>
      </c>
      <c r="B41" s="38" t="s">
        <v>181</v>
      </c>
      <c r="C41" s="259"/>
      <c r="D41" s="6"/>
    </row>
    <row r="42" spans="1:4" x14ac:dyDescent="0.25">
      <c r="A42" s="40" t="s">
        <v>18</v>
      </c>
      <c r="B42" s="38" t="s">
        <v>93</v>
      </c>
      <c r="C42" s="259"/>
      <c r="D42" s="6"/>
    </row>
    <row r="43" spans="1:4" x14ac:dyDescent="0.25">
      <c r="A43" s="41" t="s">
        <v>19</v>
      </c>
      <c r="B43" s="38" t="s">
        <v>182</v>
      </c>
      <c r="C43" s="259"/>
      <c r="D43" s="6"/>
    </row>
    <row r="44" spans="1:4" x14ac:dyDescent="0.25">
      <c r="A44" s="41" t="s">
        <v>20</v>
      </c>
      <c r="B44" s="38" t="s">
        <v>182</v>
      </c>
      <c r="C44" s="259"/>
      <c r="D44" s="6"/>
    </row>
    <row r="45" spans="1:4" x14ac:dyDescent="0.25">
      <c r="A45" s="37" t="s">
        <v>21</v>
      </c>
      <c r="B45" s="38" t="s">
        <v>120</v>
      </c>
      <c r="C45" s="259"/>
      <c r="D45" s="6"/>
    </row>
    <row r="46" spans="1:4" x14ac:dyDescent="0.25">
      <c r="A46" s="37" t="s">
        <v>22</v>
      </c>
      <c r="B46" s="38" t="s">
        <v>94</v>
      </c>
      <c r="C46" s="259"/>
      <c r="D46" s="6"/>
    </row>
    <row r="47" spans="1:4" ht="30" customHeight="1" x14ac:dyDescent="0.25">
      <c r="A47" s="40" t="s">
        <v>237</v>
      </c>
      <c r="B47" s="302" t="s">
        <v>238</v>
      </c>
      <c r="C47" s="260"/>
      <c r="D47" s="6"/>
    </row>
    <row r="48" spans="1:4" x14ac:dyDescent="0.25">
      <c r="A48" s="40" t="s">
        <v>24</v>
      </c>
      <c r="B48" s="38" t="s">
        <v>92</v>
      </c>
      <c r="C48" s="259"/>
      <c r="D48" s="6"/>
    </row>
    <row r="49" spans="1:4" x14ac:dyDescent="0.25">
      <c r="A49" s="42" t="s">
        <v>25</v>
      </c>
      <c r="B49" s="38" t="s">
        <v>92</v>
      </c>
      <c r="C49" s="259"/>
      <c r="D49" s="6"/>
    </row>
    <row r="50" spans="1:4" x14ac:dyDescent="0.25">
      <c r="A50" s="40" t="s">
        <v>26</v>
      </c>
      <c r="B50" s="38" t="s">
        <v>92</v>
      </c>
      <c r="C50" s="259"/>
      <c r="D50" s="6"/>
    </row>
    <row r="51" spans="1:4" x14ac:dyDescent="0.25">
      <c r="A51" s="40" t="s">
        <v>27</v>
      </c>
      <c r="B51" s="38" t="s">
        <v>92</v>
      </c>
      <c r="C51" s="259"/>
      <c r="D51" s="6"/>
    </row>
    <row r="52" spans="1:4" x14ac:dyDescent="0.25">
      <c r="A52" s="40" t="s">
        <v>28</v>
      </c>
      <c r="B52" s="237"/>
      <c r="C52" s="261"/>
      <c r="D52" s="6"/>
    </row>
    <row r="53" spans="1:4" x14ac:dyDescent="0.25">
      <c r="A53" s="6"/>
      <c r="B53" s="6"/>
      <c r="C53" s="6"/>
      <c r="D53" s="6"/>
    </row>
  </sheetData>
  <mergeCells count="1">
    <mergeCell ref="F1:H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06" workbookViewId="0">
      <selection activeCell="A17" sqref="A17"/>
    </sheetView>
  </sheetViews>
  <sheetFormatPr defaultColWidth="11" defaultRowHeight="15.75" x14ac:dyDescent="0.25"/>
  <cols>
    <col min="1" max="1" width="42.625" customWidth="1"/>
    <col min="2" max="2" width="24.875" customWidth="1"/>
    <col min="3" max="3" width="16" customWidth="1"/>
    <col min="4" max="4" width="16.375" customWidth="1"/>
  </cols>
  <sheetData>
    <row r="1" spans="1:5" ht="23.1" customHeight="1" x14ac:dyDescent="0.25">
      <c r="A1" s="67" t="s">
        <v>34</v>
      </c>
      <c r="B1" s="240" t="s">
        <v>113</v>
      </c>
      <c r="C1" s="240" t="s">
        <v>165</v>
      </c>
    </row>
    <row r="2" spans="1:5" x14ac:dyDescent="0.25">
      <c r="A2" s="68" t="s">
        <v>35</v>
      </c>
      <c r="B2" s="246">
        <v>1050</v>
      </c>
      <c r="C2" s="43" t="s">
        <v>114</v>
      </c>
    </row>
    <row r="3" spans="1:5" x14ac:dyDescent="0.25">
      <c r="A3" s="68" t="s">
        <v>36</v>
      </c>
      <c r="B3" s="146">
        <v>52</v>
      </c>
      <c r="C3" s="43" t="s">
        <v>114</v>
      </c>
    </row>
    <row r="4" spans="1:5" x14ac:dyDescent="0.25">
      <c r="A4" s="68" t="s">
        <v>37</v>
      </c>
      <c r="B4" s="146">
        <v>150</v>
      </c>
      <c r="C4" s="43" t="s">
        <v>114</v>
      </c>
    </row>
    <row r="5" spans="1:5" x14ac:dyDescent="0.25">
      <c r="A5" s="68" t="s">
        <v>38</v>
      </c>
      <c r="B5" s="146">
        <v>49</v>
      </c>
      <c r="C5" s="43" t="s">
        <v>114</v>
      </c>
    </row>
    <row r="6" spans="1:5" x14ac:dyDescent="0.25">
      <c r="A6" s="68" t="s">
        <v>39</v>
      </c>
      <c r="B6" s="146">
        <v>13.65</v>
      </c>
      <c r="C6" s="43" t="s">
        <v>115</v>
      </c>
      <c r="D6" t="s">
        <v>121</v>
      </c>
      <c r="E6">
        <v>1280</v>
      </c>
    </row>
    <row r="7" spans="1:5" x14ac:dyDescent="0.25">
      <c r="A7" s="68" t="s">
        <v>40</v>
      </c>
      <c r="B7" s="146">
        <v>2.19</v>
      </c>
      <c r="C7" s="43" t="s">
        <v>115</v>
      </c>
    </row>
    <row r="8" spans="1:5" ht="33" customHeight="1" x14ac:dyDescent="0.25">
      <c r="A8" s="68" t="s">
        <v>41</v>
      </c>
      <c r="B8" s="146">
        <v>2.85</v>
      </c>
      <c r="C8" s="43" t="s">
        <v>115</v>
      </c>
      <c r="D8" s="245"/>
    </row>
    <row r="9" spans="1:5" x14ac:dyDescent="0.25">
      <c r="A9" s="68" t="s">
        <v>42</v>
      </c>
      <c r="B9" s="43">
        <v>500</v>
      </c>
      <c r="C9" s="43" t="s">
        <v>116</v>
      </c>
    </row>
    <row r="10" spans="1:5" x14ac:dyDescent="0.25">
      <c r="A10" s="68" t="s">
        <v>43</v>
      </c>
      <c r="B10" s="43">
        <v>3000</v>
      </c>
      <c r="C10" s="43" t="s">
        <v>116</v>
      </c>
    </row>
    <row r="11" spans="1:5" x14ac:dyDescent="0.25">
      <c r="A11" s="69" t="s">
        <v>44</v>
      </c>
      <c r="B11" s="43">
        <v>200</v>
      </c>
      <c r="C11" s="43" t="s">
        <v>117</v>
      </c>
    </row>
    <row r="12" spans="1:5" x14ac:dyDescent="0.25">
      <c r="A12" s="69" t="s">
        <v>45</v>
      </c>
      <c r="B12" s="43"/>
      <c r="C12" s="43"/>
    </row>
    <row r="13" spans="1:5" x14ac:dyDescent="0.25">
      <c r="A13" s="68" t="s">
        <v>46</v>
      </c>
      <c r="B13" s="43"/>
      <c r="C13" s="43"/>
    </row>
    <row r="14" spans="1:5" x14ac:dyDescent="0.25">
      <c r="A14" s="43"/>
      <c r="B14" s="43"/>
      <c r="C14" s="43"/>
    </row>
    <row r="15" spans="1:5" x14ac:dyDescent="0.25">
      <c r="A15" s="73" t="s">
        <v>103</v>
      </c>
      <c r="B15" s="146">
        <v>5000</v>
      </c>
      <c r="C15" s="43" t="s">
        <v>117</v>
      </c>
    </row>
    <row r="16" spans="1:5" ht="30.75" x14ac:dyDescent="0.25">
      <c r="A16" s="73" t="s">
        <v>239</v>
      </c>
      <c r="B16" s="146">
        <v>5000</v>
      </c>
      <c r="C16" s="43" t="s">
        <v>125</v>
      </c>
      <c r="D16" t="s">
        <v>236</v>
      </c>
    </row>
    <row r="17" spans="1:3" x14ac:dyDescent="0.25">
      <c r="A17" s="243" t="s">
        <v>124</v>
      </c>
      <c r="B17" s="262">
        <v>1000</v>
      </c>
      <c r="C17" s="244" t="s">
        <v>125</v>
      </c>
    </row>
    <row r="18" spans="1:3" x14ac:dyDescent="0.25">
      <c r="A18" s="68" t="s">
        <v>118</v>
      </c>
      <c r="B18" s="43">
        <v>75</v>
      </c>
      <c r="C18" s="43" t="s">
        <v>114</v>
      </c>
    </row>
    <row r="19" spans="1:3" x14ac:dyDescent="0.25">
      <c r="A19" s="107" t="s">
        <v>119</v>
      </c>
      <c r="B19" s="43">
        <v>1440</v>
      </c>
      <c r="C19" s="43"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2" workbookViewId="0">
      <selection activeCell="B3" sqref="B3:B7"/>
    </sheetView>
  </sheetViews>
  <sheetFormatPr defaultColWidth="10.875" defaultRowHeight="12.75" x14ac:dyDescent="0.2"/>
  <cols>
    <col min="1" max="1" width="23.5" style="13" customWidth="1"/>
    <col min="2" max="2" width="15.125" style="13" customWidth="1"/>
    <col min="3" max="3" width="14.875" style="13" customWidth="1"/>
    <col min="4" max="4" width="15.375" style="13" customWidth="1"/>
    <col min="5" max="5" width="14" style="13" customWidth="1"/>
    <col min="6" max="6" width="15" style="13" customWidth="1"/>
    <col min="7" max="7" width="14.5" style="13" customWidth="1"/>
    <col min="8" max="8" width="15.375" style="13" customWidth="1"/>
    <col min="9" max="16384" width="10.875" style="13"/>
  </cols>
  <sheetData>
    <row r="1" spans="1:9" ht="18" x14ac:dyDescent="0.25">
      <c r="A1" s="346" t="s">
        <v>189</v>
      </c>
      <c r="B1" s="346"/>
      <c r="C1" s="346"/>
      <c r="D1" s="346"/>
      <c r="E1" s="346"/>
      <c r="F1" s="346"/>
      <c r="G1" s="346"/>
      <c r="H1" s="346"/>
      <c r="I1" s="346"/>
    </row>
    <row r="2" spans="1:9" ht="51" x14ac:dyDescent="0.2">
      <c r="A2" s="14" t="s">
        <v>67</v>
      </c>
      <c r="B2" s="15" t="s">
        <v>68</v>
      </c>
      <c r="C2" s="15" t="s">
        <v>69</v>
      </c>
      <c r="D2" s="16" t="s">
        <v>70</v>
      </c>
      <c r="E2" s="15" t="s">
        <v>184</v>
      </c>
      <c r="F2" s="15" t="s">
        <v>185</v>
      </c>
      <c r="G2" s="17" t="s">
        <v>186</v>
      </c>
      <c r="H2" s="17" t="s">
        <v>187</v>
      </c>
      <c r="I2" s="17" t="s">
        <v>188</v>
      </c>
    </row>
    <row r="3" spans="1:9" x14ac:dyDescent="0.2">
      <c r="A3" s="18" t="s">
        <v>71</v>
      </c>
      <c r="B3" s="301" t="s">
        <v>72</v>
      </c>
      <c r="C3" s="22">
        <v>13500</v>
      </c>
      <c r="D3" s="22">
        <v>11000</v>
      </c>
      <c r="E3" s="21">
        <v>53.317</v>
      </c>
      <c r="F3" s="22">
        <v>11165</v>
      </c>
      <c r="G3" s="21">
        <v>5.86</v>
      </c>
      <c r="H3" s="23">
        <v>4.72</v>
      </c>
      <c r="I3" s="263">
        <v>0.69</v>
      </c>
    </row>
    <row r="4" spans="1:9" x14ac:dyDescent="0.2">
      <c r="A4" s="18" t="s">
        <v>73</v>
      </c>
      <c r="B4" s="301" t="s">
        <v>72</v>
      </c>
      <c r="C4" s="22">
        <v>13500</v>
      </c>
      <c r="D4" s="22">
        <v>11000</v>
      </c>
      <c r="E4" s="21">
        <v>53.317</v>
      </c>
      <c r="F4" s="22">
        <v>11165</v>
      </c>
      <c r="G4" s="21">
        <v>5.86</v>
      </c>
      <c r="H4" s="23">
        <v>4.72</v>
      </c>
      <c r="I4" s="263">
        <v>0.69</v>
      </c>
    </row>
    <row r="5" spans="1:9" x14ac:dyDescent="0.2">
      <c r="A5" s="18" t="s">
        <v>74</v>
      </c>
      <c r="B5" s="301" t="s">
        <v>72</v>
      </c>
      <c r="C5" s="22">
        <v>13500</v>
      </c>
      <c r="D5" s="22">
        <v>11000</v>
      </c>
      <c r="E5" s="21">
        <v>45.022999999999996</v>
      </c>
      <c r="F5" s="22">
        <v>11165</v>
      </c>
      <c r="G5" s="21">
        <v>5.86</v>
      </c>
      <c r="H5" s="23">
        <v>4.72</v>
      </c>
      <c r="I5" s="263">
        <v>0.69</v>
      </c>
    </row>
    <row r="6" spans="1:9" x14ac:dyDescent="0.2">
      <c r="A6" s="18" t="s">
        <v>75</v>
      </c>
      <c r="B6" s="301" t="s">
        <v>72</v>
      </c>
      <c r="C6" s="22">
        <v>11000</v>
      </c>
      <c r="D6" s="22">
        <v>5400</v>
      </c>
      <c r="E6" s="21">
        <v>37.521000000000001</v>
      </c>
      <c r="F6" s="21" t="s">
        <v>76</v>
      </c>
      <c r="G6" s="21">
        <v>5.86</v>
      </c>
      <c r="H6" s="23">
        <v>4.72</v>
      </c>
      <c r="I6" s="263">
        <v>0.69</v>
      </c>
    </row>
    <row r="7" spans="1:9" x14ac:dyDescent="0.2">
      <c r="A7" s="18" t="s">
        <v>77</v>
      </c>
      <c r="B7" s="301" t="s">
        <v>72</v>
      </c>
      <c r="C7" s="22">
        <v>11000</v>
      </c>
      <c r="D7" s="22">
        <v>5400</v>
      </c>
      <c r="E7" s="21">
        <v>37.521000000000001</v>
      </c>
      <c r="F7" s="21" t="s">
        <v>76</v>
      </c>
      <c r="G7" s="21">
        <v>5.86</v>
      </c>
      <c r="H7" s="23">
        <v>4.72</v>
      </c>
      <c r="I7" s="263">
        <v>0.69</v>
      </c>
    </row>
    <row r="8" spans="1:9" x14ac:dyDescent="0.2">
      <c r="A8" s="24"/>
      <c r="I8" s="30"/>
    </row>
    <row r="9" spans="1:9" x14ac:dyDescent="0.2">
      <c r="A9" s="24"/>
      <c r="I9" s="30"/>
    </row>
    <row r="10" spans="1:9" ht="51" x14ac:dyDescent="0.2">
      <c r="A10" s="14" t="s">
        <v>136</v>
      </c>
      <c r="B10" s="15" t="s">
        <v>80</v>
      </c>
      <c r="C10" s="15" t="s">
        <v>69</v>
      </c>
      <c r="D10" s="16" t="s">
        <v>70</v>
      </c>
      <c r="E10" s="15" t="s">
        <v>81</v>
      </c>
      <c r="F10" s="15" t="s">
        <v>82</v>
      </c>
      <c r="G10" s="17" t="s">
        <v>83</v>
      </c>
      <c r="H10" s="17" t="s">
        <v>84</v>
      </c>
      <c r="I10" s="17" t="s">
        <v>85</v>
      </c>
    </row>
    <row r="11" spans="1:9" x14ac:dyDescent="0.2">
      <c r="A11" s="18" t="s">
        <v>71</v>
      </c>
      <c r="B11" s="19" t="e">
        <f>B3*$C$30</f>
        <v>#VALUE!</v>
      </c>
      <c r="C11" s="22">
        <v>13500</v>
      </c>
      <c r="D11" s="22">
        <v>10000</v>
      </c>
      <c r="E11" s="22">
        <f>E3*$C$29*0.85</f>
        <v>10151.5568</v>
      </c>
      <c r="F11" s="22">
        <v>11165</v>
      </c>
      <c r="G11" s="22">
        <f t="shared" ref="G11:I15" si="0">G3*$C$29*0.85</f>
        <v>1115.7440000000001</v>
      </c>
      <c r="H11" s="22">
        <f t="shared" si="0"/>
        <v>898.68799999999999</v>
      </c>
      <c r="I11" s="22">
        <f t="shared" si="0"/>
        <v>131.376</v>
      </c>
    </row>
    <row r="12" spans="1:9" x14ac:dyDescent="0.2">
      <c r="A12" s="18" t="s">
        <v>73</v>
      </c>
      <c r="B12" s="19" t="e">
        <f>B4*$C$30</f>
        <v>#VALUE!</v>
      </c>
      <c r="C12" s="22">
        <v>13500</v>
      </c>
      <c r="D12" s="22">
        <v>10000</v>
      </c>
      <c r="E12" s="22">
        <f>E4*$C$29*0.85</f>
        <v>10151.5568</v>
      </c>
      <c r="F12" s="22">
        <v>11165</v>
      </c>
      <c r="G12" s="22">
        <f t="shared" si="0"/>
        <v>1115.7440000000001</v>
      </c>
      <c r="H12" s="22">
        <f t="shared" si="0"/>
        <v>898.68799999999999</v>
      </c>
      <c r="I12" s="22">
        <f t="shared" si="0"/>
        <v>131.376</v>
      </c>
    </row>
    <row r="13" spans="1:9" x14ac:dyDescent="0.2">
      <c r="A13" s="18" t="s">
        <v>74</v>
      </c>
      <c r="B13" s="19" t="e">
        <f>B5*$C$30</f>
        <v>#VALUE!</v>
      </c>
      <c r="C13" s="22">
        <v>13500</v>
      </c>
      <c r="D13" s="22">
        <v>10000</v>
      </c>
      <c r="E13" s="22">
        <f>E5*$C$29*0.85</f>
        <v>8572.3791999999976</v>
      </c>
      <c r="F13" s="22">
        <v>11165</v>
      </c>
      <c r="G13" s="22">
        <f t="shared" si="0"/>
        <v>1115.7440000000001</v>
      </c>
      <c r="H13" s="22">
        <f t="shared" si="0"/>
        <v>898.68799999999999</v>
      </c>
      <c r="I13" s="22">
        <f t="shared" si="0"/>
        <v>131.376</v>
      </c>
    </row>
    <row r="14" spans="1:9" x14ac:dyDescent="0.2">
      <c r="A14" s="18" t="s">
        <v>75</v>
      </c>
      <c r="B14" s="19" t="e">
        <f>B6*$C$30</f>
        <v>#VALUE!</v>
      </c>
      <c r="C14" s="22">
        <v>11000</v>
      </c>
      <c r="D14" s="22">
        <v>4500</v>
      </c>
      <c r="E14" s="22">
        <f>E6*$C$29*0.85</f>
        <v>7143.9983999999995</v>
      </c>
      <c r="F14" s="21" t="s">
        <v>76</v>
      </c>
      <c r="G14" s="22">
        <f t="shared" si="0"/>
        <v>1115.7440000000001</v>
      </c>
      <c r="H14" s="22">
        <f t="shared" si="0"/>
        <v>898.68799999999999</v>
      </c>
      <c r="I14" s="22">
        <f t="shared" si="0"/>
        <v>131.376</v>
      </c>
    </row>
    <row r="15" spans="1:9" x14ac:dyDescent="0.2">
      <c r="A15" s="18" t="s">
        <v>77</v>
      </c>
      <c r="B15" s="19" t="e">
        <f>B7*$C$30</f>
        <v>#VALUE!</v>
      </c>
      <c r="C15" s="22">
        <v>11000</v>
      </c>
      <c r="D15" s="22">
        <v>4500</v>
      </c>
      <c r="E15" s="22">
        <f>E7*$C$29*0.85</f>
        <v>7143.9983999999995</v>
      </c>
      <c r="F15" s="21" t="s">
        <v>76</v>
      </c>
      <c r="G15" s="22">
        <f t="shared" si="0"/>
        <v>1115.7440000000001</v>
      </c>
      <c r="H15" s="22">
        <f t="shared" si="0"/>
        <v>898.68799999999999</v>
      </c>
      <c r="I15" s="22">
        <f t="shared" si="0"/>
        <v>131.376</v>
      </c>
    </row>
    <row r="18" spans="1:9" ht="18" hidden="1" x14ac:dyDescent="0.25">
      <c r="A18" s="346" t="s">
        <v>86</v>
      </c>
      <c r="B18" s="346"/>
      <c r="C18" s="346"/>
      <c r="D18" s="346"/>
      <c r="E18" s="346"/>
      <c r="F18" s="346"/>
      <c r="G18" s="346"/>
      <c r="H18" s="346"/>
      <c r="I18" s="346"/>
    </row>
    <row r="19" spans="1:9" ht="51" hidden="1" x14ac:dyDescent="0.2">
      <c r="A19" s="14" t="s">
        <v>67</v>
      </c>
      <c r="B19" s="15" t="s">
        <v>80</v>
      </c>
      <c r="C19" s="15" t="s">
        <v>69</v>
      </c>
      <c r="D19" s="16" t="s">
        <v>70</v>
      </c>
      <c r="E19" s="15" t="s">
        <v>81</v>
      </c>
      <c r="F19" s="15" t="s">
        <v>82</v>
      </c>
      <c r="G19" s="17" t="s">
        <v>83</v>
      </c>
      <c r="H19" s="17" t="s">
        <v>84</v>
      </c>
      <c r="I19" s="17" t="s">
        <v>85</v>
      </c>
    </row>
    <row r="20" spans="1:9" hidden="1" x14ac:dyDescent="0.2">
      <c r="A20" s="18" t="s">
        <v>71</v>
      </c>
      <c r="B20" s="19" t="s">
        <v>79</v>
      </c>
      <c r="C20" s="20" t="e">
        <f>#REF!*0.5</f>
        <v>#REF!</v>
      </c>
      <c r="D20" s="20" t="e">
        <f>#REF!*0.5</f>
        <v>#REF!</v>
      </c>
      <c r="E20" s="22" t="s">
        <v>79</v>
      </c>
      <c r="F20" s="22">
        <f>F11*0.5</f>
        <v>5582.5</v>
      </c>
      <c r="G20" s="20" t="s">
        <v>79</v>
      </c>
      <c r="H20" s="20" t="s">
        <v>79</v>
      </c>
      <c r="I20" s="20" t="s">
        <v>79</v>
      </c>
    </row>
    <row r="21" spans="1:9" hidden="1" x14ac:dyDescent="0.2">
      <c r="A21" s="18" t="s">
        <v>73</v>
      </c>
      <c r="B21" s="19" t="s">
        <v>79</v>
      </c>
      <c r="C21" s="20" t="e">
        <f>#REF!*0.5</f>
        <v>#REF!</v>
      </c>
      <c r="D21" s="20" t="e">
        <f>#REF!*0.5</f>
        <v>#REF!</v>
      </c>
      <c r="E21" s="22" t="s">
        <v>79</v>
      </c>
      <c r="F21" s="22">
        <f t="shared" ref="F21:F22" si="1">F12*0.5</f>
        <v>5582.5</v>
      </c>
      <c r="G21" s="20" t="s">
        <v>79</v>
      </c>
      <c r="H21" s="20" t="s">
        <v>79</v>
      </c>
      <c r="I21" s="20" t="s">
        <v>79</v>
      </c>
    </row>
    <row r="22" spans="1:9" hidden="1" x14ac:dyDescent="0.2">
      <c r="A22" s="18" t="s">
        <v>74</v>
      </c>
      <c r="B22" s="19" t="s">
        <v>79</v>
      </c>
      <c r="C22" s="20" t="e">
        <f>#REF!*0.5</f>
        <v>#REF!</v>
      </c>
      <c r="D22" s="20" t="e">
        <f>#REF!*0.5</f>
        <v>#REF!</v>
      </c>
      <c r="E22" s="22" t="s">
        <v>79</v>
      </c>
      <c r="F22" s="22">
        <f t="shared" si="1"/>
        <v>5582.5</v>
      </c>
      <c r="G22" s="20" t="s">
        <v>79</v>
      </c>
      <c r="H22" s="20" t="s">
        <v>79</v>
      </c>
      <c r="I22" s="20" t="s">
        <v>79</v>
      </c>
    </row>
    <row r="23" spans="1:9" hidden="1" x14ac:dyDescent="0.2">
      <c r="A23" s="18" t="s">
        <v>75</v>
      </c>
      <c r="B23" s="19" t="s">
        <v>79</v>
      </c>
      <c r="C23" s="20" t="e">
        <f>#REF!*0.5</f>
        <v>#REF!</v>
      </c>
      <c r="D23" s="20" t="e">
        <f>#REF!*0.5</f>
        <v>#REF!</v>
      </c>
      <c r="E23" s="22" t="s">
        <v>79</v>
      </c>
      <c r="F23" s="21" t="s">
        <v>76</v>
      </c>
      <c r="G23" s="20" t="s">
        <v>79</v>
      </c>
      <c r="H23" s="20" t="s">
        <v>79</v>
      </c>
      <c r="I23" s="20" t="s">
        <v>79</v>
      </c>
    </row>
    <row r="24" spans="1:9" hidden="1" x14ac:dyDescent="0.2">
      <c r="A24" s="18" t="s">
        <v>77</v>
      </c>
      <c r="B24" s="19" t="s">
        <v>79</v>
      </c>
      <c r="C24" s="20" t="e">
        <f>#REF!*0.5</f>
        <v>#REF!</v>
      </c>
      <c r="D24" s="20" t="e">
        <f>#REF!*0.5</f>
        <v>#REF!</v>
      </c>
      <c r="E24" s="22" t="s">
        <v>79</v>
      </c>
      <c r="F24" s="21" t="s">
        <v>76</v>
      </c>
      <c r="G24" s="20" t="s">
        <v>79</v>
      </c>
      <c r="H24" s="20" t="s">
        <v>79</v>
      </c>
      <c r="I24" s="20" t="s">
        <v>79</v>
      </c>
    </row>
    <row r="25" spans="1:9" hidden="1" x14ac:dyDescent="0.2">
      <c r="A25" s="18" t="s">
        <v>78</v>
      </c>
      <c r="B25" s="19" t="s">
        <v>79</v>
      </c>
      <c r="C25" s="19" t="s">
        <v>79</v>
      </c>
      <c r="D25" s="19" t="s">
        <v>79</v>
      </c>
      <c r="E25" s="22" t="s">
        <v>79</v>
      </c>
      <c r="F25" s="21" t="s">
        <v>76</v>
      </c>
      <c r="G25" s="20" t="s">
        <v>79</v>
      </c>
      <c r="H25" s="20" t="s">
        <v>79</v>
      </c>
      <c r="I25" s="20" t="s">
        <v>79</v>
      </c>
    </row>
    <row r="26" spans="1:9" s="30" customFormat="1" hidden="1" x14ac:dyDescent="0.2">
      <c r="A26" s="25"/>
      <c r="B26" s="26"/>
      <c r="C26" s="26"/>
      <c r="D26" s="26"/>
      <c r="E26" s="27"/>
      <c r="F26" s="28"/>
      <c r="G26" s="29"/>
      <c r="H26" s="29"/>
      <c r="I26" s="29"/>
    </row>
    <row r="27" spans="1:9" s="30" customFormat="1" x14ac:dyDescent="0.2">
      <c r="A27" s="25"/>
      <c r="B27" s="202"/>
      <c r="C27" s="200"/>
      <c r="D27" s="200"/>
      <c r="E27" s="201"/>
      <c r="F27" s="28"/>
      <c r="G27" s="29"/>
      <c r="H27" s="29"/>
      <c r="I27" s="29"/>
    </row>
    <row r="28" spans="1:9" ht="15.75" x14ac:dyDescent="0.25">
      <c r="B28" s="31"/>
      <c r="C28" s="32" t="s">
        <v>87</v>
      </c>
      <c r="D28" s="32" t="s">
        <v>88</v>
      </c>
      <c r="E28" s="32" t="s">
        <v>89</v>
      </c>
      <c r="F28" s="202"/>
    </row>
    <row r="29" spans="1:9" x14ac:dyDescent="0.2">
      <c r="B29" s="31" t="s">
        <v>90</v>
      </c>
      <c r="C29" s="33">
        <f>Variables!B14</f>
        <v>224</v>
      </c>
      <c r="D29" s="33">
        <f>C29-170</f>
        <v>54</v>
      </c>
      <c r="E29" s="33">
        <v>170</v>
      </c>
    </row>
    <row r="30" spans="1:9" ht="15.75" x14ac:dyDescent="0.25">
      <c r="B30" s="31" t="s">
        <v>91</v>
      </c>
      <c r="C30" s="34">
        <f>C29/5</f>
        <v>44.8</v>
      </c>
      <c r="D30" s="35">
        <f>D29/5</f>
        <v>10.8</v>
      </c>
      <c r="E30" s="34">
        <f>E29/5</f>
        <v>34</v>
      </c>
    </row>
  </sheetData>
  <mergeCells count="2">
    <mergeCell ref="A1:I1"/>
    <mergeCell ref="A18:I18"/>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9"/>
  <sheetViews>
    <sheetView workbookViewId="0">
      <selection activeCell="C20" sqref="C20"/>
    </sheetView>
  </sheetViews>
  <sheetFormatPr defaultColWidth="11" defaultRowHeight="15.75" x14ac:dyDescent="0.25"/>
  <cols>
    <col min="1" max="1" width="23.5" style="203" customWidth="1"/>
    <col min="2" max="2" width="20.125" customWidth="1"/>
    <col min="3" max="3" width="19.5" customWidth="1"/>
  </cols>
  <sheetData>
    <row r="4" spans="1:3" x14ac:dyDescent="0.25">
      <c r="A4" s="347" t="s">
        <v>159</v>
      </c>
      <c r="B4" s="348"/>
      <c r="C4" s="348"/>
    </row>
    <row r="5" spans="1:3" x14ac:dyDescent="0.25">
      <c r="A5" s="204"/>
      <c r="B5" s="205" t="s">
        <v>156</v>
      </c>
      <c r="C5" s="205" t="s">
        <v>157</v>
      </c>
    </row>
    <row r="6" spans="1:3" x14ac:dyDescent="0.25">
      <c r="A6" s="204" t="s">
        <v>158</v>
      </c>
      <c r="B6" s="43">
        <v>12</v>
      </c>
      <c r="C6" s="43">
        <v>8</v>
      </c>
    </row>
    <row r="7" spans="1:3" x14ac:dyDescent="0.25">
      <c r="A7" s="204" t="s">
        <v>160</v>
      </c>
      <c r="B7" s="43">
        <v>15</v>
      </c>
      <c r="C7" s="43">
        <v>8</v>
      </c>
    </row>
    <row r="8" spans="1:3" x14ac:dyDescent="0.25">
      <c r="A8" s="204" t="s">
        <v>161</v>
      </c>
      <c r="B8" s="43">
        <v>16</v>
      </c>
      <c r="C8" s="43">
        <v>8</v>
      </c>
    </row>
    <row r="9" spans="1:3" x14ac:dyDescent="0.25">
      <c r="A9" s="204" t="s">
        <v>162</v>
      </c>
      <c r="B9" s="43">
        <v>20</v>
      </c>
      <c r="C9" s="43">
        <v>17</v>
      </c>
    </row>
    <row r="10" spans="1:3" x14ac:dyDescent="0.25">
      <c r="A10" s="204" t="s">
        <v>163</v>
      </c>
      <c r="B10" s="43">
        <v>20</v>
      </c>
      <c r="C10" s="43">
        <v>17</v>
      </c>
    </row>
    <row r="13" spans="1:3" x14ac:dyDescent="0.25">
      <c r="A13" s="347" t="s">
        <v>164</v>
      </c>
      <c r="B13" s="348"/>
      <c r="C13" s="348"/>
    </row>
    <row r="14" spans="1:3" x14ac:dyDescent="0.25">
      <c r="A14" s="204"/>
      <c r="B14" s="205" t="s">
        <v>156</v>
      </c>
      <c r="C14" s="205" t="s">
        <v>157</v>
      </c>
    </row>
    <row r="15" spans="1:3" x14ac:dyDescent="0.25">
      <c r="A15" s="204" t="s">
        <v>158</v>
      </c>
      <c r="B15" s="241">
        <v>4.4444444444444446E-2</v>
      </c>
      <c r="C15" s="241">
        <v>4.4444444444444446E-2</v>
      </c>
    </row>
    <row r="16" spans="1:3" x14ac:dyDescent="0.25">
      <c r="A16" s="204" t="s">
        <v>160</v>
      </c>
      <c r="B16" s="241">
        <v>4.5138888888888888E-2</v>
      </c>
      <c r="C16" s="241">
        <v>4.4444444444444446E-2</v>
      </c>
    </row>
    <row r="17" spans="1:3" x14ac:dyDescent="0.25">
      <c r="A17" s="204" t="s">
        <v>161</v>
      </c>
      <c r="B17" s="241">
        <v>4.7222222222222221E-2</v>
      </c>
      <c r="C17" s="241">
        <v>4.4444444444444446E-2</v>
      </c>
    </row>
    <row r="18" spans="1:3" x14ac:dyDescent="0.25">
      <c r="A18" s="204" t="s">
        <v>162</v>
      </c>
      <c r="B18" s="241">
        <v>4.8611111111111112E-2</v>
      </c>
      <c r="C18" s="241">
        <v>4.8611111111111112E-2</v>
      </c>
    </row>
    <row r="19" spans="1:3" x14ac:dyDescent="0.25">
      <c r="A19" s="204" t="s">
        <v>163</v>
      </c>
      <c r="B19" s="241">
        <v>4.8611111111111112E-2</v>
      </c>
      <c r="C19" s="241">
        <v>4.8611111111111112E-2</v>
      </c>
    </row>
  </sheetData>
  <mergeCells count="2">
    <mergeCell ref="A4:C4"/>
    <mergeCell ref="A13:C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Variables</vt:lpstr>
      <vt:lpstr>SINGLE SITE BUDGET</vt:lpstr>
      <vt:lpstr>MULTI-SITE BUDGET</vt:lpstr>
      <vt:lpstr>Salaries &amp; Staffing Patterns</vt:lpstr>
      <vt:lpstr>Non-personnel expenses</vt:lpstr>
      <vt:lpstr>Revenue Sources</vt:lpstr>
      <vt:lpstr>Group sizes</vt:lpstr>
      <vt:lpstr>CURRENT_DOWNSTATE_FRINGE</vt:lpstr>
      <vt:lpstr>CURRENT_UPSTATE_FRINGE</vt:lpstr>
      <vt:lpstr>RECOMMENDED_DOWNSTATE_FRINGE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Ritter</dc:creator>
  <cp:lastModifiedBy>Ejeh, Shauna</cp:lastModifiedBy>
  <dcterms:created xsi:type="dcterms:W3CDTF">2019-02-12T20:19:15Z</dcterms:created>
  <dcterms:modified xsi:type="dcterms:W3CDTF">2019-04-23T19:10:38Z</dcterms:modified>
</cp:coreProperties>
</file>